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CC93472B-D012-478D-AB2F-C53D81838561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Assumptions" sheetId="2" r:id="rId1"/>
    <sheet name="Forecast" sheetId="1" r:id="rId2"/>
    <sheet name="Actual" sheetId="12" r:id="rId3"/>
    <sheet name="BS" sheetId="6" r:id="rId4"/>
    <sheet name="Loans" sheetId="7" r:id="rId5"/>
    <sheet name="Report" sheetId="14" r:id="rId6"/>
  </sheets>
  <definedNames>
    <definedName name="_xlnm._FilterDatabase" localSheetId="5" hidden="1">Report!$A$4:$E$72</definedName>
    <definedName name="FilterCells">1000</definedName>
    <definedName name="LoanMonths">Forecast!$C$4:$BB$4</definedName>
    <definedName name="MonthList">Forecast!$C$4:$BB$4</definedName>
    <definedName name="Months">Forecast!$C$4:$BB$4</definedName>
    <definedName name="_xlnm.Print_Area" localSheetId="2">Actual!$B$1:$BG$82</definedName>
    <definedName name="_xlnm.Print_Area" localSheetId="3">BS!$A$1:$BH$43</definedName>
    <definedName name="_xlnm.Print_Area" localSheetId="1">Forecast!$B$1:$BG$82</definedName>
    <definedName name="_xlnm.Print_Area" localSheetId="5">Report!$A$1:$N$99</definedName>
    <definedName name="_xlnm.Print_Titles" localSheetId="2">Actual!$B:$B</definedName>
    <definedName name="_xlnm.Print_Titles" localSheetId="3">BS!$B:$B,BS!$1:$4</definedName>
    <definedName name="_xlnm.Print_Titles" localSheetId="1">Forecast!$B:$B</definedName>
    <definedName name="_xlnm.Print_Titles" localSheetId="4">Loans!$1:$8</definedName>
    <definedName name="_xlnm.Print_Titles" localSheetId="5">Report!$1:$2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9" i="6" l="1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D10" i="2" l="1"/>
  <c r="D9" i="2"/>
  <c r="D8" i="2"/>
  <c r="C10" i="2"/>
  <c r="C8" i="2"/>
  <c r="C9" i="2" s="1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I58" i="12"/>
  <c r="AH58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C40" i="6"/>
  <c r="AC40" i="6"/>
  <c r="BE40" i="6" s="1"/>
  <c r="B36" i="14"/>
  <c r="A35" i="14"/>
  <c r="B35" i="14" s="1"/>
  <c r="A34" i="14"/>
  <c r="B34" i="14" s="1"/>
  <c r="A33" i="14"/>
  <c r="B33" i="14" s="1"/>
  <c r="A32" i="14"/>
  <c r="B32" i="14" s="1"/>
  <c r="A31" i="14"/>
  <c r="B31" i="14" s="1"/>
  <c r="A30" i="14"/>
  <c r="B30" i="14" s="1"/>
  <c r="A29" i="14"/>
  <c r="B29" i="14" s="1"/>
  <c r="A28" i="14"/>
  <c r="B28" i="14" s="1"/>
  <c r="A27" i="14"/>
  <c r="B27" i="14" s="1"/>
  <c r="A26" i="14"/>
  <c r="B26" i="14" s="1"/>
  <c r="A25" i="14"/>
  <c r="B25" i="14" s="1"/>
  <c r="A24" i="14"/>
  <c r="B24" i="14" s="1"/>
  <c r="A23" i="14"/>
  <c r="B23" i="14" s="1"/>
  <c r="A22" i="14"/>
  <c r="B22" i="14" s="1"/>
  <c r="A21" i="14"/>
  <c r="B21" i="14" s="1"/>
  <c r="A20" i="14"/>
  <c r="B20" i="14" s="1"/>
  <c r="A19" i="14"/>
  <c r="B19" i="14" s="1"/>
  <c r="A18" i="14"/>
  <c r="B18" i="14" s="1"/>
  <c r="A17" i="14"/>
  <c r="B17" i="14" s="1"/>
  <c r="A16" i="14"/>
  <c r="B16" i="14" s="1"/>
  <c r="A15" i="14"/>
  <c r="B15" i="14" s="1"/>
  <c r="A14" i="14"/>
  <c r="B14" i="14" s="1"/>
  <c r="A13" i="14"/>
  <c r="B13" i="14" s="1"/>
  <c r="A1" i="14"/>
  <c r="BB73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B62" i="12"/>
  <c r="BA62" i="12"/>
  <c r="AZ62" i="12"/>
  <c r="AY62" i="12"/>
  <c r="AX62" i="12"/>
  <c r="AW62" i="12"/>
  <c r="AV62" i="12"/>
  <c r="AU62" i="12"/>
  <c r="AT62" i="12"/>
  <c r="AS62" i="12"/>
  <c r="AR62" i="12"/>
  <c r="AQ62" i="12"/>
  <c r="AP62" i="12"/>
  <c r="AO62" i="12"/>
  <c r="AN62" i="12"/>
  <c r="AM62" i="12"/>
  <c r="AL62" i="12"/>
  <c r="AK62" i="12"/>
  <c r="AJ62" i="12"/>
  <c r="AI62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BB61" i="12"/>
  <c r="BA61" i="12"/>
  <c r="AZ61" i="12"/>
  <c r="AY61" i="12"/>
  <c r="AX61" i="12"/>
  <c r="AW61" i="12"/>
  <c r="AV61" i="12"/>
  <c r="AU61" i="12"/>
  <c r="AT61" i="12"/>
  <c r="AS61" i="12"/>
  <c r="AR61" i="12"/>
  <c r="AQ61" i="12"/>
  <c r="AP61" i="12"/>
  <c r="AO61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I60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F43" i="6"/>
  <c r="BE43" i="6"/>
  <c r="BD43" i="6"/>
  <c r="C40" i="6"/>
  <c r="BF39" i="6"/>
  <c r="BE39" i="6"/>
  <c r="BD39" i="6"/>
  <c r="C39" i="6"/>
  <c r="C37" i="6"/>
  <c r="C75" i="12" s="1"/>
  <c r="C36" i="6"/>
  <c r="C35" i="6"/>
  <c r="C73" i="12"/>
  <c r="C32" i="6"/>
  <c r="C80" i="12" s="1"/>
  <c r="BF31" i="6"/>
  <c r="BE31" i="6"/>
  <c r="BD31" i="6"/>
  <c r="C31" i="6"/>
  <c r="C61" i="12" s="1"/>
  <c r="BF30" i="6"/>
  <c r="BE30" i="6"/>
  <c r="BD30" i="6"/>
  <c r="C30" i="6"/>
  <c r="C60" i="12" s="1"/>
  <c r="C28" i="6"/>
  <c r="D26" i="6"/>
  <c r="E26" i="6" s="1"/>
  <c r="F26" i="6" s="1"/>
  <c r="G26" i="6" s="1"/>
  <c r="H26" i="6" s="1"/>
  <c r="I26" i="6" s="1"/>
  <c r="J26" i="6" s="1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Y26" i="6" s="1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AJ26" i="6" s="1"/>
  <c r="AK26" i="6" s="1"/>
  <c r="AL26" i="6" s="1"/>
  <c r="AM26" i="6" s="1"/>
  <c r="AN26" i="6" s="1"/>
  <c r="AO26" i="6" s="1"/>
  <c r="AP26" i="6" s="1"/>
  <c r="AQ26" i="6" s="1"/>
  <c r="AR26" i="6" s="1"/>
  <c r="AS26" i="6" s="1"/>
  <c r="AT26" i="6" s="1"/>
  <c r="AU26" i="6" s="1"/>
  <c r="AV26" i="6" s="1"/>
  <c r="AW26" i="6" s="1"/>
  <c r="AX26" i="6" s="1"/>
  <c r="AY26" i="6" s="1"/>
  <c r="AZ26" i="6" s="1"/>
  <c r="BA26" i="6" s="1"/>
  <c r="BB26" i="6" s="1"/>
  <c r="BC26" i="6" s="1"/>
  <c r="C26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B23" i="6"/>
  <c r="BE74" i="12"/>
  <c r="BD74" i="12"/>
  <c r="BC74" i="12"/>
  <c r="BB70" i="12"/>
  <c r="BA70" i="12"/>
  <c r="AZ70" i="12"/>
  <c r="AY70" i="12"/>
  <c r="AX70" i="12"/>
  <c r="AW70" i="12"/>
  <c r="AV70" i="12"/>
  <c r="AU70" i="12"/>
  <c r="AT70" i="12"/>
  <c r="AS70" i="12"/>
  <c r="AR70" i="12"/>
  <c r="AQ70" i="12"/>
  <c r="AP70" i="12"/>
  <c r="AO70" i="12"/>
  <c r="AN70" i="12"/>
  <c r="AM70" i="12"/>
  <c r="AL70" i="12"/>
  <c r="AK70" i="12"/>
  <c r="AJ70" i="12"/>
  <c r="AI70" i="12"/>
  <c r="AH70" i="12"/>
  <c r="AG70" i="12"/>
  <c r="AF70" i="12"/>
  <c r="AE70" i="12"/>
  <c r="AD70" i="12"/>
  <c r="AC70" i="12"/>
  <c r="AB70" i="12"/>
  <c r="AA70" i="12"/>
  <c r="Z70" i="12"/>
  <c r="Y70" i="12"/>
  <c r="X70" i="12"/>
  <c r="W70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BE69" i="12"/>
  <c r="BE70" i="12" s="1"/>
  <c r="BD69" i="12"/>
  <c r="BD70" i="12" s="1"/>
  <c r="BC69" i="12"/>
  <c r="BC70" i="12" s="1"/>
  <c r="C58" i="12"/>
  <c r="C52" i="12"/>
  <c r="D52" i="12" s="1"/>
  <c r="E52" i="12" s="1"/>
  <c r="F52" i="12" s="1"/>
  <c r="G52" i="12" s="1"/>
  <c r="H52" i="12" s="1"/>
  <c r="I52" i="12" s="1"/>
  <c r="J52" i="12" s="1"/>
  <c r="K52" i="12" s="1"/>
  <c r="L52" i="12" s="1"/>
  <c r="M52" i="12" s="1"/>
  <c r="N52" i="12" s="1"/>
  <c r="O52" i="12" s="1"/>
  <c r="P52" i="12" s="1"/>
  <c r="Q52" i="12" s="1"/>
  <c r="R52" i="12" s="1"/>
  <c r="S52" i="12" s="1"/>
  <c r="T52" i="12" s="1"/>
  <c r="U52" i="12" s="1"/>
  <c r="V52" i="12" s="1"/>
  <c r="W52" i="12" s="1"/>
  <c r="X52" i="12" s="1"/>
  <c r="Y52" i="12" s="1"/>
  <c r="Z52" i="12" s="1"/>
  <c r="AA52" i="12" s="1"/>
  <c r="AB52" i="12" s="1"/>
  <c r="AC52" i="12" s="1"/>
  <c r="AD52" i="12" s="1"/>
  <c r="AE52" i="12" s="1"/>
  <c r="AF52" i="12" s="1"/>
  <c r="AG52" i="12" s="1"/>
  <c r="AH52" i="12" s="1"/>
  <c r="AI52" i="12" s="1"/>
  <c r="AJ52" i="12" s="1"/>
  <c r="AK52" i="12" s="1"/>
  <c r="AL52" i="12" s="1"/>
  <c r="AM52" i="12" s="1"/>
  <c r="AN52" i="12" s="1"/>
  <c r="AO52" i="12" s="1"/>
  <c r="AP52" i="12" s="1"/>
  <c r="AQ52" i="12" s="1"/>
  <c r="AR52" i="12" s="1"/>
  <c r="AS52" i="12" s="1"/>
  <c r="AT52" i="12" s="1"/>
  <c r="AU52" i="12" s="1"/>
  <c r="AV52" i="12" s="1"/>
  <c r="AW52" i="12" s="1"/>
  <c r="AX52" i="12" s="1"/>
  <c r="AY52" i="12" s="1"/>
  <c r="AZ52" i="12" s="1"/>
  <c r="BA52" i="12" s="1"/>
  <c r="BB52" i="12" s="1"/>
  <c r="BG52" i="12" s="1"/>
  <c r="BB51" i="12"/>
  <c r="BA51" i="12"/>
  <c r="AZ51" i="12"/>
  <c r="AY51" i="12"/>
  <c r="AX51" i="12"/>
  <c r="AW51" i="12"/>
  <c r="AV51" i="12"/>
  <c r="AU51" i="12"/>
  <c r="AT51" i="12"/>
  <c r="AS51" i="12"/>
  <c r="AR51" i="12"/>
  <c r="AQ51" i="12"/>
  <c r="AP51" i="12"/>
  <c r="AO51" i="12"/>
  <c r="AN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49" i="12"/>
  <c r="BE38" i="12"/>
  <c r="BD38" i="12"/>
  <c r="BC38" i="12"/>
  <c r="BB36" i="12"/>
  <c r="BA36" i="12"/>
  <c r="AZ36" i="12"/>
  <c r="AZ40" i="12" s="1"/>
  <c r="AY36" i="12"/>
  <c r="AX36" i="12"/>
  <c r="AW36" i="12"/>
  <c r="AV36" i="12"/>
  <c r="AU36" i="12"/>
  <c r="AT36" i="12"/>
  <c r="AS36" i="12"/>
  <c r="AR36" i="12"/>
  <c r="AQ36" i="12"/>
  <c r="AP36" i="12"/>
  <c r="AO36" i="12"/>
  <c r="AN36" i="12"/>
  <c r="AN40" i="12" s="1"/>
  <c r="AM36" i="12"/>
  <c r="AL36" i="12"/>
  <c r="AK36" i="12"/>
  <c r="AJ36" i="12"/>
  <c r="AI36" i="12"/>
  <c r="AI40" i="12" s="1"/>
  <c r="AH36" i="12"/>
  <c r="AG36" i="12"/>
  <c r="AF36" i="12"/>
  <c r="AE36" i="12"/>
  <c r="AD36" i="12"/>
  <c r="AC36" i="12"/>
  <c r="AB36" i="12"/>
  <c r="AB40" i="12" s="1"/>
  <c r="AA36" i="12"/>
  <c r="Z36" i="12"/>
  <c r="Y36" i="12"/>
  <c r="X36" i="12"/>
  <c r="W36" i="12"/>
  <c r="V36" i="12"/>
  <c r="U36" i="12"/>
  <c r="T36" i="12"/>
  <c r="S36" i="12"/>
  <c r="S40" i="12" s="1"/>
  <c r="R36" i="12"/>
  <c r="Q36" i="12"/>
  <c r="P36" i="12"/>
  <c r="O36" i="12"/>
  <c r="N36" i="12"/>
  <c r="M36" i="12"/>
  <c r="L36" i="12"/>
  <c r="L40" i="12" s="1"/>
  <c r="K36" i="12"/>
  <c r="J36" i="12"/>
  <c r="I36" i="12"/>
  <c r="H36" i="12"/>
  <c r="G36" i="12"/>
  <c r="F36" i="12"/>
  <c r="E36" i="12"/>
  <c r="D36" i="12"/>
  <c r="C36" i="12"/>
  <c r="C40" i="12" s="1"/>
  <c r="C43" i="12" s="1"/>
  <c r="D40" i="6" s="1"/>
  <c r="BE35" i="12"/>
  <c r="BD35" i="12"/>
  <c r="BC35" i="12"/>
  <c r="BE34" i="12"/>
  <c r="BD34" i="12"/>
  <c r="BC34" i="12"/>
  <c r="BE33" i="12"/>
  <c r="BD33" i="12"/>
  <c r="BC33" i="12"/>
  <c r="BE32" i="12"/>
  <c r="BD32" i="12"/>
  <c r="BC32" i="12"/>
  <c r="BE31" i="12"/>
  <c r="BD31" i="12"/>
  <c r="BC31" i="12"/>
  <c r="BE30" i="12"/>
  <c r="BD30" i="12"/>
  <c r="BC30" i="12"/>
  <c r="BE29" i="12"/>
  <c r="BD29" i="12"/>
  <c r="BC29" i="12"/>
  <c r="BE28" i="12"/>
  <c r="BD28" i="12"/>
  <c r="BC28" i="12"/>
  <c r="BE27" i="12"/>
  <c r="BD27" i="12"/>
  <c r="BC27" i="12"/>
  <c r="BE26" i="12"/>
  <c r="BD26" i="12"/>
  <c r="BC26" i="12"/>
  <c r="BE25" i="12"/>
  <c r="BD25" i="12"/>
  <c r="BC25" i="12"/>
  <c r="BE24" i="12"/>
  <c r="BD24" i="12"/>
  <c r="BC24" i="12"/>
  <c r="BE23" i="12"/>
  <c r="BD23" i="12"/>
  <c r="BC23" i="12"/>
  <c r="BE22" i="12"/>
  <c r="BD22" i="12"/>
  <c r="BC22" i="12"/>
  <c r="BE21" i="12"/>
  <c r="BD21" i="12"/>
  <c r="BC21" i="12"/>
  <c r="BE20" i="12"/>
  <c r="BD20" i="12"/>
  <c r="BC20" i="12"/>
  <c r="BE19" i="12"/>
  <c r="BD19" i="12"/>
  <c r="BC19" i="12"/>
  <c r="BE18" i="12"/>
  <c r="BD18" i="12"/>
  <c r="BC18" i="12"/>
  <c r="BE17" i="12"/>
  <c r="BD17" i="12"/>
  <c r="BC17" i="12"/>
  <c r="BE16" i="12"/>
  <c r="BD16" i="12"/>
  <c r="BC16" i="12"/>
  <c r="BE15" i="12"/>
  <c r="BD15" i="12"/>
  <c r="BC15" i="12"/>
  <c r="BE14" i="12"/>
  <c r="BD14" i="12"/>
  <c r="BC14" i="12"/>
  <c r="BE13" i="12"/>
  <c r="BD13" i="12"/>
  <c r="BC13" i="12"/>
  <c r="BB9" i="12"/>
  <c r="BA9" i="12"/>
  <c r="BA7" i="12" s="1"/>
  <c r="AZ9" i="12"/>
  <c r="AZ7" i="12" s="1"/>
  <c r="AY9" i="12"/>
  <c r="AY7" i="12" s="1"/>
  <c r="AX9" i="12"/>
  <c r="AX7" i="12" s="1"/>
  <c r="AW9" i="12"/>
  <c r="AW7" i="12" s="1"/>
  <c r="AV9" i="12"/>
  <c r="AV7" i="12" s="1"/>
  <c r="AU9" i="12"/>
  <c r="AU7" i="12"/>
  <c r="AT9" i="12"/>
  <c r="AT7" i="12" s="1"/>
  <c r="AS9" i="12"/>
  <c r="AS7" i="12"/>
  <c r="AR9" i="12"/>
  <c r="AQ9" i="12"/>
  <c r="AP9" i="12"/>
  <c r="AP7" i="12"/>
  <c r="AO9" i="12"/>
  <c r="AO7" i="12" s="1"/>
  <c r="AN9" i="12"/>
  <c r="AM9" i="12"/>
  <c r="AM7" i="12" s="1"/>
  <c r="AL9" i="12"/>
  <c r="AL7" i="12" s="1"/>
  <c r="AK9" i="12"/>
  <c r="AK7" i="12" s="1"/>
  <c r="AJ9" i="12"/>
  <c r="AI9" i="12"/>
  <c r="AI7" i="12" s="1"/>
  <c r="AH9" i="12"/>
  <c r="AH7" i="12" s="1"/>
  <c r="AG9" i="12"/>
  <c r="AG7" i="12" s="1"/>
  <c r="AF9" i="12"/>
  <c r="AF7" i="12" s="1"/>
  <c r="AE9" i="12"/>
  <c r="AE7" i="12" s="1"/>
  <c r="AD9" i="12"/>
  <c r="AD7" i="12" s="1"/>
  <c r="AC9" i="12"/>
  <c r="AC7" i="12" s="1"/>
  <c r="AB9" i="12"/>
  <c r="AB7" i="12" s="1"/>
  <c r="AA9" i="12"/>
  <c r="AA7" i="12" s="1"/>
  <c r="Z9" i="12"/>
  <c r="Z7" i="12" s="1"/>
  <c r="Y9" i="12"/>
  <c r="Y7" i="12" s="1"/>
  <c r="X9" i="12"/>
  <c r="X7" i="12" s="1"/>
  <c r="W9" i="12"/>
  <c r="W7" i="12" s="1"/>
  <c r="V9" i="12"/>
  <c r="V7" i="12" s="1"/>
  <c r="U9" i="12"/>
  <c r="U7" i="12"/>
  <c r="T9" i="12"/>
  <c r="S9" i="12"/>
  <c r="S7" i="12" s="1"/>
  <c r="R9" i="12"/>
  <c r="R7" i="12" s="1"/>
  <c r="Q9" i="12"/>
  <c r="Q7" i="12" s="1"/>
  <c r="P9" i="12"/>
  <c r="O9" i="12"/>
  <c r="O7" i="12" s="1"/>
  <c r="N9" i="12"/>
  <c r="N7" i="12" s="1"/>
  <c r="M9" i="12"/>
  <c r="M7" i="12" s="1"/>
  <c r="L9" i="12"/>
  <c r="L7" i="12" s="1"/>
  <c r="K9" i="12"/>
  <c r="K7" i="12" s="1"/>
  <c r="J9" i="12"/>
  <c r="I9" i="12"/>
  <c r="I7" i="12" s="1"/>
  <c r="H9" i="12"/>
  <c r="H7" i="12" s="1"/>
  <c r="G9" i="12"/>
  <c r="G7" i="12" s="1"/>
  <c r="F9" i="12"/>
  <c r="F7" i="12" s="1"/>
  <c r="E9" i="12"/>
  <c r="E7" i="12" s="1"/>
  <c r="D9" i="12"/>
  <c r="D7" i="12" s="1"/>
  <c r="C9" i="12"/>
  <c r="BB7" i="12"/>
  <c r="AQ7" i="12"/>
  <c r="AN7" i="12"/>
  <c r="BE5" i="12"/>
  <c r="BD5" i="12"/>
  <c r="BC5" i="12"/>
  <c r="C4" i="12"/>
  <c r="D4" i="12" s="1"/>
  <c r="E4" i="12" s="1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W4" i="12" s="1"/>
  <c r="X4" i="12" s="1"/>
  <c r="Y4" i="12" s="1"/>
  <c r="Z4" i="12" s="1"/>
  <c r="AA4" i="12" s="1"/>
  <c r="AB4" i="12" s="1"/>
  <c r="AC4" i="12" s="1"/>
  <c r="AD4" i="12" s="1"/>
  <c r="AE4" i="12" s="1"/>
  <c r="AF4" i="12" s="1"/>
  <c r="AG4" i="12" s="1"/>
  <c r="AH4" i="12" s="1"/>
  <c r="AI4" i="12" s="1"/>
  <c r="AJ4" i="12" s="1"/>
  <c r="AK4" i="12" s="1"/>
  <c r="AL4" i="12" s="1"/>
  <c r="AM4" i="12" s="1"/>
  <c r="AN4" i="12" s="1"/>
  <c r="AO4" i="12" s="1"/>
  <c r="AP4" i="12" s="1"/>
  <c r="AQ4" i="12" s="1"/>
  <c r="AR4" i="12" s="1"/>
  <c r="AS4" i="12" s="1"/>
  <c r="AT4" i="12" s="1"/>
  <c r="AU4" i="12" s="1"/>
  <c r="AV4" i="12" s="1"/>
  <c r="AW4" i="12" s="1"/>
  <c r="AX4" i="12" s="1"/>
  <c r="AY4" i="12" s="1"/>
  <c r="AZ4" i="12" s="1"/>
  <c r="BA4" i="12" s="1"/>
  <c r="BB4" i="12" s="1"/>
  <c r="BG4" i="12" s="1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1" i="12"/>
  <c r="B49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C52" i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AQ52" i="1" s="1"/>
  <c r="AR52" i="1" s="1"/>
  <c r="AS52" i="1" s="1"/>
  <c r="AT52" i="1" s="1"/>
  <c r="AU52" i="1" s="1"/>
  <c r="AV52" i="1" s="1"/>
  <c r="AW52" i="1" s="1"/>
  <c r="AX52" i="1" s="1"/>
  <c r="AY52" i="1" s="1"/>
  <c r="AZ52" i="1" s="1"/>
  <c r="BA52" i="1" s="1"/>
  <c r="BB52" i="1" s="1"/>
  <c r="BG52" i="1" s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69" i="1"/>
  <c r="BC70" i="1" s="1"/>
  <c r="BD69" i="1"/>
  <c r="BD70" i="1" s="1"/>
  <c r="BE69" i="1"/>
  <c r="BE70" i="1" s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3" i="1"/>
  <c r="BD73" i="1"/>
  <c r="BE73" i="1"/>
  <c r="BC74" i="1"/>
  <c r="BD74" i="1"/>
  <c r="BE74" i="1"/>
  <c r="BC18" i="6"/>
  <c r="AC18" i="6"/>
  <c r="BE18" i="6" s="1"/>
  <c r="BF9" i="6"/>
  <c r="BD9" i="6"/>
  <c r="M61" i="1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F21" i="6"/>
  <c r="BE21" i="6"/>
  <c r="BD21" i="6"/>
  <c r="BE38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5" i="1"/>
  <c r="BD38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5" i="1"/>
  <c r="BC38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5" i="1"/>
  <c r="B10" i="2"/>
  <c r="BG39" i="6" s="1"/>
  <c r="BH39" i="6" s="1"/>
  <c r="D9" i="1"/>
  <c r="D7" i="1" s="1"/>
  <c r="D36" i="1"/>
  <c r="D40" i="1" s="1"/>
  <c r="BF17" i="1"/>
  <c r="BF25" i="1"/>
  <c r="BF21" i="1"/>
  <c r="BF13" i="1"/>
  <c r="BF16" i="1"/>
  <c r="BF20" i="1"/>
  <c r="BF24" i="1"/>
  <c r="BF32" i="1"/>
  <c r="BF38" i="1"/>
  <c r="BF5" i="1"/>
  <c r="BF18" i="1"/>
  <c r="BF22" i="1"/>
  <c r="BF26" i="1"/>
  <c r="BF34" i="1"/>
  <c r="BF15" i="1"/>
  <c r="BF19" i="1"/>
  <c r="BF27" i="1"/>
  <c r="BF31" i="1"/>
  <c r="BF35" i="1"/>
  <c r="K9" i="1"/>
  <c r="K7" i="1" s="1"/>
  <c r="K36" i="1"/>
  <c r="O9" i="1"/>
  <c r="O7" i="1" s="1"/>
  <c r="O36" i="1"/>
  <c r="I9" i="7"/>
  <c r="C22" i="2"/>
  <c r="C4" i="6"/>
  <c r="D4" i="6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AJ4" i="6" s="1"/>
  <c r="AK4" i="6" s="1"/>
  <c r="AL4" i="6" s="1"/>
  <c r="AM4" i="6" s="1"/>
  <c r="AN4" i="6" s="1"/>
  <c r="AO4" i="6" s="1"/>
  <c r="AP4" i="6" s="1"/>
  <c r="AQ4" i="6" s="1"/>
  <c r="AR4" i="6" s="1"/>
  <c r="AS4" i="6" s="1"/>
  <c r="AT4" i="6" s="1"/>
  <c r="AU4" i="6" s="1"/>
  <c r="AV4" i="6" s="1"/>
  <c r="AW4" i="6" s="1"/>
  <c r="AX4" i="6" s="1"/>
  <c r="AY4" i="6" s="1"/>
  <c r="AZ4" i="6" s="1"/>
  <c r="BA4" i="6" s="1"/>
  <c r="BB4" i="6" s="1"/>
  <c r="BC4" i="6" s="1"/>
  <c r="E9" i="1"/>
  <c r="E7" i="1"/>
  <c r="E36" i="1"/>
  <c r="A9" i="7"/>
  <c r="B9" i="7" s="1"/>
  <c r="A10" i="7"/>
  <c r="A11" i="7" s="1"/>
  <c r="A12" i="7" s="1"/>
  <c r="A13" i="7" s="1"/>
  <c r="BB36" i="1"/>
  <c r="BA36" i="1"/>
  <c r="AZ36" i="1"/>
  <c r="AY36" i="1"/>
  <c r="AX36" i="1"/>
  <c r="AX40" i="1" s="1"/>
  <c r="AW36" i="1"/>
  <c r="AV36" i="1"/>
  <c r="AU36" i="1"/>
  <c r="AU40" i="1" s="1"/>
  <c r="AT36" i="1"/>
  <c r="AS36" i="1"/>
  <c r="AR36" i="1"/>
  <c r="AQ36" i="1"/>
  <c r="AP36" i="1"/>
  <c r="BB9" i="1"/>
  <c r="BB7" i="1" s="1"/>
  <c r="BA9" i="1"/>
  <c r="BA7" i="1" s="1"/>
  <c r="AZ9" i="1"/>
  <c r="AZ7" i="1" s="1"/>
  <c r="AY9" i="1"/>
  <c r="AY7" i="1" s="1"/>
  <c r="AX9" i="1"/>
  <c r="AX7" i="1" s="1"/>
  <c r="AW9" i="1"/>
  <c r="AW7" i="1"/>
  <c r="AV9" i="1"/>
  <c r="AV7" i="1" s="1"/>
  <c r="AU9" i="1"/>
  <c r="AU7" i="1"/>
  <c r="AT9" i="1"/>
  <c r="AT7" i="1" s="1"/>
  <c r="AS9" i="1"/>
  <c r="AS7" i="1" s="1"/>
  <c r="AR9" i="1"/>
  <c r="AQ9" i="1"/>
  <c r="AQ7" i="1" s="1"/>
  <c r="AP9" i="1"/>
  <c r="AP7" i="1" s="1"/>
  <c r="AD36" i="1"/>
  <c r="AD9" i="1"/>
  <c r="AD7" i="1" s="1"/>
  <c r="Q36" i="1"/>
  <c r="Q9" i="1"/>
  <c r="Q7" i="1" s="1"/>
  <c r="C4" i="1"/>
  <c r="D4" i="1" s="1"/>
  <c r="E4" i="1" s="1"/>
  <c r="A1" i="7"/>
  <c r="B1" i="6"/>
  <c r="B1" i="1"/>
  <c r="C28" i="2"/>
  <c r="A1" i="2"/>
  <c r="C18" i="6"/>
  <c r="B5" i="7"/>
  <c r="B6" i="7"/>
  <c r="G9" i="7" s="1"/>
  <c r="H9" i="7" s="1"/>
  <c r="C10" i="7" s="1"/>
  <c r="B4" i="7"/>
  <c r="D9" i="7"/>
  <c r="AC36" i="1"/>
  <c r="AE36" i="1"/>
  <c r="AE40" i="1" s="1"/>
  <c r="AF36" i="1"/>
  <c r="AG36" i="1"/>
  <c r="AH36" i="1"/>
  <c r="AI36" i="1"/>
  <c r="AJ36" i="1"/>
  <c r="AK36" i="1"/>
  <c r="AL36" i="1"/>
  <c r="AL40" i="1" s="1"/>
  <c r="AM36" i="1"/>
  <c r="AN36" i="1"/>
  <c r="AO36" i="1"/>
  <c r="C36" i="1"/>
  <c r="F36" i="1"/>
  <c r="F40" i="1" s="1"/>
  <c r="G36" i="1"/>
  <c r="H36" i="1"/>
  <c r="I36" i="1"/>
  <c r="J36" i="1"/>
  <c r="J40" i="1" s="1"/>
  <c r="L36" i="1"/>
  <c r="M36" i="1"/>
  <c r="N36" i="1"/>
  <c r="P36" i="1"/>
  <c r="R36" i="1"/>
  <c r="S36" i="1"/>
  <c r="T36" i="1"/>
  <c r="U36" i="1"/>
  <c r="V36" i="1"/>
  <c r="W36" i="1"/>
  <c r="X36" i="1"/>
  <c r="Y36" i="1"/>
  <c r="Y40" i="1" s="1"/>
  <c r="Z36" i="1"/>
  <c r="AA36" i="1"/>
  <c r="AB36" i="1"/>
  <c r="C9" i="6"/>
  <c r="AC9" i="1"/>
  <c r="C9" i="1"/>
  <c r="C7" i="1" s="1"/>
  <c r="F9" i="1"/>
  <c r="F7" i="1" s="1"/>
  <c r="G9" i="1"/>
  <c r="G7" i="1" s="1"/>
  <c r="H9" i="1"/>
  <c r="H7" i="1" s="1"/>
  <c r="I9" i="1"/>
  <c r="I7" i="1" s="1"/>
  <c r="J9" i="1"/>
  <c r="J7" i="1" s="1"/>
  <c r="L9" i="1"/>
  <c r="L7" i="1" s="1"/>
  <c r="M9" i="1"/>
  <c r="M7" i="1" s="1"/>
  <c r="N9" i="1"/>
  <c r="N7" i="1" s="1"/>
  <c r="P9" i="1"/>
  <c r="R9" i="1"/>
  <c r="R7" i="1" s="1"/>
  <c r="S9" i="1"/>
  <c r="S7" i="1" s="1"/>
  <c r="T9" i="1"/>
  <c r="T7" i="1"/>
  <c r="U9" i="1"/>
  <c r="U7" i="1" s="1"/>
  <c r="V9" i="1"/>
  <c r="V7" i="1"/>
  <c r="W9" i="1"/>
  <c r="W7" i="1" s="1"/>
  <c r="X9" i="1"/>
  <c r="X7" i="1" s="1"/>
  <c r="Y9" i="1"/>
  <c r="Y7" i="1" s="1"/>
  <c r="Z9" i="1"/>
  <c r="Z7" i="1" s="1"/>
  <c r="AA9" i="1"/>
  <c r="AA7" i="1" s="1"/>
  <c r="AB9" i="1"/>
  <c r="AB7" i="1" s="1"/>
  <c r="AE9" i="1"/>
  <c r="AF9" i="1"/>
  <c r="AF7" i="1"/>
  <c r="AG9" i="1"/>
  <c r="AG7" i="1" s="1"/>
  <c r="AH9" i="1"/>
  <c r="AH7" i="1" s="1"/>
  <c r="AI9" i="1"/>
  <c r="AI7" i="1" s="1"/>
  <c r="AJ9" i="1"/>
  <c r="AJ7" i="1" s="1"/>
  <c r="AK9" i="1"/>
  <c r="AL9" i="1"/>
  <c r="AL7" i="1"/>
  <c r="AM9" i="1"/>
  <c r="AM7" i="1" s="1"/>
  <c r="AN9" i="1"/>
  <c r="AN7" i="1" s="1"/>
  <c r="AO9" i="1"/>
  <c r="AO7" i="1" s="1"/>
  <c r="C17" i="6"/>
  <c r="C14" i="6"/>
  <c r="C15" i="6"/>
  <c r="C13" i="6"/>
  <c r="D13" i="6" s="1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C6" i="6"/>
  <c r="C8" i="6"/>
  <c r="C10" i="6"/>
  <c r="C80" i="1" s="1"/>
  <c r="BC80" i="1" s="1"/>
  <c r="C7" i="12"/>
  <c r="AK7" i="1"/>
  <c r="AE7" i="1"/>
  <c r="D55" i="12"/>
  <c r="C55" i="12"/>
  <c r="C64" i="12" s="1"/>
  <c r="F55" i="12"/>
  <c r="F64" i="12" s="1"/>
  <c r="E55" i="12"/>
  <c r="E64" i="12" s="1"/>
  <c r="G55" i="12"/>
  <c r="G64" i="12" s="1"/>
  <c r="H55" i="12"/>
  <c r="H64" i="12" s="1"/>
  <c r="I55" i="12"/>
  <c r="I64" i="12" s="1"/>
  <c r="J55" i="12"/>
  <c r="J64" i="12" s="1"/>
  <c r="K55" i="12"/>
  <c r="K64" i="12" s="1"/>
  <c r="L55" i="12"/>
  <c r="L64" i="12" s="1"/>
  <c r="BD35" i="6"/>
  <c r="N55" i="12"/>
  <c r="N64" i="12" s="1"/>
  <c r="M55" i="12"/>
  <c r="M64" i="12" s="1"/>
  <c r="P55" i="12"/>
  <c r="P64" i="12" s="1"/>
  <c r="O55" i="12"/>
  <c r="O64" i="12" s="1"/>
  <c r="BC42" i="12"/>
  <c r="BD37" i="6"/>
  <c r="R55" i="12"/>
  <c r="R64" i="12" s="1"/>
  <c r="Q55" i="12"/>
  <c r="Q64" i="12" s="1"/>
  <c r="S55" i="12"/>
  <c r="S64" i="12" s="1"/>
  <c r="T55" i="12"/>
  <c r="T64" i="12" s="1"/>
  <c r="V55" i="12"/>
  <c r="V64" i="12" s="1"/>
  <c r="U55" i="12"/>
  <c r="U64" i="12" s="1"/>
  <c r="W55" i="12"/>
  <c r="W64" i="12" s="1"/>
  <c r="X55" i="12"/>
  <c r="X64" i="12" s="1"/>
  <c r="BE35" i="6"/>
  <c r="Y55" i="12"/>
  <c r="Y64" i="12" s="1"/>
  <c r="Z55" i="12"/>
  <c r="Z64" i="12" s="1"/>
  <c r="AA55" i="12"/>
  <c r="AA64" i="12" s="1"/>
  <c r="AB55" i="12"/>
  <c r="AB64" i="12" s="1"/>
  <c r="BD42" i="12"/>
  <c r="AC55" i="12"/>
  <c r="AC64" i="12" s="1"/>
  <c r="BE37" i="6"/>
  <c r="AE55" i="12"/>
  <c r="AE64" i="12" s="1"/>
  <c r="AD55" i="12"/>
  <c r="AD64" i="12" s="1"/>
  <c r="AF55" i="12"/>
  <c r="AF64" i="12" s="1"/>
  <c r="AG55" i="12"/>
  <c r="AH55" i="12"/>
  <c r="AH64" i="12" s="1"/>
  <c r="AI55" i="12"/>
  <c r="AI64" i="12" s="1"/>
  <c r="AJ55" i="12"/>
  <c r="AJ64" i="12" s="1"/>
  <c r="AK55" i="12"/>
  <c r="AK64" i="12" s="1"/>
  <c r="BF35" i="6"/>
  <c r="AL55" i="12"/>
  <c r="AL64" i="12" s="1"/>
  <c r="AM55" i="12"/>
  <c r="AM64" i="12" s="1"/>
  <c r="AN55" i="12"/>
  <c r="AN64" i="12" s="1"/>
  <c r="AO55" i="12"/>
  <c r="AO64" i="12" s="1"/>
  <c r="BE42" i="12"/>
  <c r="AP55" i="12"/>
  <c r="AP64" i="12" s="1"/>
  <c r="BF37" i="6"/>
  <c r="AQ55" i="12"/>
  <c r="AQ64" i="12" s="1"/>
  <c r="AR55" i="12"/>
  <c r="AR64" i="12" s="1"/>
  <c r="AS55" i="12"/>
  <c r="AS64" i="12" s="1"/>
  <c r="AT55" i="12"/>
  <c r="AT64" i="12" s="1"/>
  <c r="AU55" i="12"/>
  <c r="AU64" i="12" s="1"/>
  <c r="AW55" i="12"/>
  <c r="AV55" i="12"/>
  <c r="AV64" i="12" s="1"/>
  <c r="AX55" i="12"/>
  <c r="AX64" i="12" s="1"/>
  <c r="AY55" i="12"/>
  <c r="AY64" i="12" s="1"/>
  <c r="BG35" i="6"/>
  <c r="BH35" i="6" s="1"/>
  <c r="AZ55" i="12"/>
  <c r="AZ64" i="12" s="1"/>
  <c r="BA55" i="12"/>
  <c r="BA64" i="12" s="1"/>
  <c r="BB55" i="12"/>
  <c r="BB64" i="12" s="1"/>
  <c r="BF42" i="12"/>
  <c r="BG37" i="6"/>
  <c r="BH37" i="6" s="1"/>
  <c r="C62" i="12"/>
  <c r="BE9" i="12" l="1"/>
  <c r="BG43" i="6"/>
  <c r="C11" i="6"/>
  <c r="V40" i="1"/>
  <c r="BA40" i="1"/>
  <c r="BB40" i="12"/>
  <c r="BD9" i="12"/>
  <c r="W40" i="12"/>
  <c r="AY40" i="12"/>
  <c r="BG30" i="6"/>
  <c r="BH30" i="6" s="1"/>
  <c r="O8" i="6"/>
  <c r="N17" i="6"/>
  <c r="BB8" i="6"/>
  <c r="BA17" i="6"/>
  <c r="AL8" i="6"/>
  <c r="AK17" i="6"/>
  <c r="AL17" i="6"/>
  <c r="AM8" i="6"/>
  <c r="AC17" i="6"/>
  <c r="V17" i="6"/>
  <c r="W8" i="6"/>
  <c r="J8" i="6"/>
  <c r="I17" i="6"/>
  <c r="AY17" i="6"/>
  <c r="AZ8" i="6"/>
  <c r="G40" i="12"/>
  <c r="AP8" i="6"/>
  <c r="BF8" i="6" s="1"/>
  <c r="AO17" i="6"/>
  <c r="AH17" i="6"/>
  <c r="AI8" i="6"/>
  <c r="Z8" i="6"/>
  <c r="Y17" i="6"/>
  <c r="AV17" i="6"/>
  <c r="AW8" i="6"/>
  <c r="G17" i="6"/>
  <c r="H8" i="6"/>
  <c r="AO8" i="6"/>
  <c r="AN17" i="6"/>
  <c r="AC8" i="6"/>
  <c r="BE8" i="6" s="1"/>
  <c r="AB17" i="6"/>
  <c r="P17" i="6"/>
  <c r="I8" i="6"/>
  <c r="I60" i="1" s="1"/>
  <c r="H17" i="6"/>
  <c r="N40" i="1"/>
  <c r="AD40" i="1"/>
  <c r="AX8" i="6"/>
  <c r="AW17" i="6"/>
  <c r="BB17" i="6"/>
  <c r="BC8" i="6"/>
  <c r="AQ40" i="1"/>
  <c r="C41" i="6"/>
  <c r="AH8" i="6"/>
  <c r="AG17" i="6"/>
  <c r="P7" i="12"/>
  <c r="AQ17" i="6"/>
  <c r="AR8" i="6"/>
  <c r="AJ17" i="6"/>
  <c r="AK8" i="6"/>
  <c r="AA17" i="6"/>
  <c r="AB8" i="6"/>
  <c r="V8" i="6"/>
  <c r="V60" i="1" s="1"/>
  <c r="U17" i="6"/>
  <c r="O17" i="6"/>
  <c r="P8" i="6"/>
  <c r="K17" i="6"/>
  <c r="L8" i="6"/>
  <c r="F8" i="6"/>
  <c r="D8" i="6"/>
  <c r="C60" i="1" s="1"/>
  <c r="E8" i="6"/>
  <c r="D17" i="6"/>
  <c r="C62" i="1" s="1"/>
  <c r="E17" i="6"/>
  <c r="S40" i="1"/>
  <c r="M40" i="1"/>
  <c r="AK40" i="1"/>
  <c r="BA8" i="6"/>
  <c r="AZ17" i="6"/>
  <c r="BC17" i="6"/>
  <c r="AR40" i="1"/>
  <c r="AV40" i="1"/>
  <c r="AZ40" i="1"/>
  <c r="O40" i="1"/>
  <c r="N8" i="6"/>
  <c r="M17" i="6"/>
  <c r="BF23" i="1"/>
  <c r="BF30" i="1"/>
  <c r="BG30" i="1" s="1"/>
  <c r="BF14" i="1"/>
  <c r="BG14" i="1" s="1"/>
  <c r="BF28" i="1"/>
  <c r="BG28" i="1" s="1"/>
  <c r="BF29" i="1"/>
  <c r="BG29" i="1" s="1"/>
  <c r="BF33" i="1"/>
  <c r="BG33" i="1" s="1"/>
  <c r="BG21" i="6"/>
  <c r="BH21" i="6" s="1"/>
  <c r="BG18" i="6"/>
  <c r="BH18" i="6" s="1"/>
  <c r="I40" i="12"/>
  <c r="Y40" i="12"/>
  <c r="AO40" i="12"/>
  <c r="AS40" i="12"/>
  <c r="D28" i="6"/>
  <c r="E28" i="6" s="1"/>
  <c r="F28" i="6" s="1"/>
  <c r="G28" i="6" s="1"/>
  <c r="AM17" i="6"/>
  <c r="AN8" i="6"/>
  <c r="AR17" i="6"/>
  <c r="X17" i="6"/>
  <c r="Y8" i="6"/>
  <c r="L17" i="6"/>
  <c r="M8" i="6"/>
  <c r="F17" i="6"/>
  <c r="G8" i="6"/>
  <c r="P40" i="12"/>
  <c r="AF40" i="12"/>
  <c r="AI17" i="6"/>
  <c r="AJ8" i="6"/>
  <c r="BC9" i="1"/>
  <c r="BC10" i="1" s="1"/>
  <c r="AQ8" i="6"/>
  <c r="AP17" i="6"/>
  <c r="Z17" i="6"/>
  <c r="AA8" i="6"/>
  <c r="W17" i="6"/>
  <c r="X8" i="6"/>
  <c r="U8" i="6"/>
  <c r="T17" i="6"/>
  <c r="J17" i="6"/>
  <c r="K8" i="6"/>
  <c r="Z40" i="1"/>
  <c r="AN40" i="1"/>
  <c r="AY8" i="6"/>
  <c r="AX17" i="6"/>
  <c r="AW40" i="1"/>
  <c r="E40" i="1"/>
  <c r="BF5" i="12"/>
  <c r="BG5" i="12" s="1"/>
  <c r="F40" i="12"/>
  <c r="V40" i="12"/>
  <c r="AL40" i="12"/>
  <c r="BF38" i="12"/>
  <c r="BG38" i="12" s="1"/>
  <c r="AD76" i="12"/>
  <c r="J76" i="12"/>
  <c r="R76" i="12"/>
  <c r="K76" i="12"/>
  <c r="BD10" i="12"/>
  <c r="BE10" i="12"/>
  <c r="AU76" i="12"/>
  <c r="AJ76" i="12"/>
  <c r="C61" i="1"/>
  <c r="G61" i="1"/>
  <c r="K61" i="1"/>
  <c r="S61" i="1"/>
  <c r="AA61" i="1"/>
  <c r="AE61" i="1"/>
  <c r="AI61" i="1"/>
  <c r="AQ61" i="1"/>
  <c r="AY61" i="1"/>
  <c r="BB76" i="12"/>
  <c r="AB61" i="1"/>
  <c r="H76" i="12"/>
  <c r="L76" i="12"/>
  <c r="T76" i="12"/>
  <c r="X76" i="12"/>
  <c r="AB76" i="12"/>
  <c r="AN76" i="12"/>
  <c r="AR76" i="12"/>
  <c r="AV76" i="12"/>
  <c r="Q76" i="12"/>
  <c r="AK76" i="12"/>
  <c r="BG80" i="1"/>
  <c r="G76" i="12"/>
  <c r="S76" i="12"/>
  <c r="W76" i="12"/>
  <c r="AA76" i="12"/>
  <c r="AM76" i="12"/>
  <c r="AQ76" i="12"/>
  <c r="C56" i="12"/>
  <c r="C65" i="12" s="1"/>
  <c r="C45" i="12"/>
  <c r="D36" i="6" s="1"/>
  <c r="D41" i="6" s="1"/>
  <c r="BD36" i="1"/>
  <c r="BG26" i="1"/>
  <c r="E61" i="1"/>
  <c r="I61" i="1"/>
  <c r="Q61" i="1"/>
  <c r="U61" i="1"/>
  <c r="Y61" i="1"/>
  <c r="AK61" i="1"/>
  <c r="BC61" i="12"/>
  <c r="BB61" i="1"/>
  <c r="BA76" i="12"/>
  <c r="F76" i="12"/>
  <c r="AT76" i="12"/>
  <c r="BG19" i="1"/>
  <c r="BC58" i="1"/>
  <c r="BE73" i="12"/>
  <c r="BE62" i="12"/>
  <c r="D76" i="12"/>
  <c r="P76" i="12"/>
  <c r="AF76" i="12"/>
  <c r="AZ76" i="12"/>
  <c r="BG17" i="1"/>
  <c r="H61" i="1"/>
  <c r="BG20" i="1"/>
  <c r="D40" i="12"/>
  <c r="D43" i="12" s="1"/>
  <c r="D45" i="12" s="1"/>
  <c r="D54" i="12" s="1"/>
  <c r="N76" i="12"/>
  <c r="V76" i="12"/>
  <c r="AH76" i="12"/>
  <c r="AL76" i="12"/>
  <c r="AP76" i="12"/>
  <c r="AX76" i="12"/>
  <c r="BF58" i="12"/>
  <c r="D61" i="1"/>
  <c r="BC36" i="12"/>
  <c r="BG34" i="1"/>
  <c r="BG13" i="1"/>
  <c r="BG21" i="1"/>
  <c r="BG25" i="1"/>
  <c r="BG5" i="1"/>
  <c r="BG16" i="1"/>
  <c r="BG24" i="1"/>
  <c r="BG32" i="1"/>
  <c r="BG38" i="1"/>
  <c r="BG15" i="1"/>
  <c r="BG27" i="1"/>
  <c r="BG31" i="1"/>
  <c r="BG35" i="1"/>
  <c r="J61" i="1"/>
  <c r="N61" i="1"/>
  <c r="V61" i="1"/>
  <c r="Z61" i="1"/>
  <c r="AH61" i="1"/>
  <c r="AL61" i="1"/>
  <c r="AT61" i="1"/>
  <c r="AX61" i="1"/>
  <c r="BF58" i="1"/>
  <c r="BE58" i="1"/>
  <c r="BE36" i="12"/>
  <c r="BE40" i="12" s="1"/>
  <c r="C76" i="12"/>
  <c r="BH43" i="6"/>
  <c r="E76" i="12"/>
  <c r="I76" i="12"/>
  <c r="M76" i="12"/>
  <c r="BD73" i="12"/>
  <c r="U76" i="12"/>
  <c r="Y76" i="12"/>
  <c r="AC76" i="12"/>
  <c r="AG76" i="12"/>
  <c r="AO76" i="12"/>
  <c r="BF73" i="12"/>
  <c r="AW76" i="12"/>
  <c r="BC60" i="12"/>
  <c r="BE60" i="12"/>
  <c r="BF60" i="12"/>
  <c r="BD61" i="12"/>
  <c r="BF61" i="12"/>
  <c r="BD62" i="12"/>
  <c r="BD75" i="12"/>
  <c r="Z76" i="12"/>
  <c r="BE75" i="12"/>
  <c r="BE76" i="12" s="1"/>
  <c r="BF75" i="12"/>
  <c r="BE58" i="12"/>
  <c r="BD58" i="1"/>
  <c r="BD58" i="12"/>
  <c r="P61" i="1"/>
  <c r="BC62" i="12"/>
  <c r="BG18" i="1"/>
  <c r="BG22" i="1"/>
  <c r="L61" i="1"/>
  <c r="T61" i="1"/>
  <c r="X61" i="1"/>
  <c r="AV61" i="1"/>
  <c r="BD60" i="12"/>
  <c r="BE61" i="12"/>
  <c r="BF62" i="12"/>
  <c r="O76" i="12"/>
  <c r="AE76" i="12"/>
  <c r="AI76" i="12"/>
  <c r="AY76" i="12"/>
  <c r="F61" i="1"/>
  <c r="BC73" i="12"/>
  <c r="AU61" i="1"/>
  <c r="BE36" i="1"/>
  <c r="BC36" i="1"/>
  <c r="O61" i="1"/>
  <c r="AD61" i="1"/>
  <c r="AM61" i="1"/>
  <c r="BC75" i="12"/>
  <c r="W61" i="1"/>
  <c r="R61" i="1"/>
  <c r="AS76" i="12"/>
  <c r="D6" i="6"/>
  <c r="E6" i="6" s="1"/>
  <c r="F6" i="6" s="1"/>
  <c r="G6" i="6" s="1"/>
  <c r="H6" i="6" s="1"/>
  <c r="B10" i="7"/>
  <c r="AP61" i="1"/>
  <c r="BC80" i="12"/>
  <c r="BG80" i="12"/>
  <c r="BD9" i="1"/>
  <c r="P7" i="1"/>
  <c r="AC7" i="1"/>
  <c r="AG8" i="6" s="1"/>
  <c r="BE9" i="1"/>
  <c r="BE10" i="1" s="1"/>
  <c r="AR7" i="1"/>
  <c r="BF9" i="1"/>
  <c r="BF10" i="1" s="1"/>
  <c r="J7" i="12"/>
  <c r="BC7" i="12" s="1"/>
  <c r="BC9" i="12"/>
  <c r="T40" i="12"/>
  <c r="T7" i="12"/>
  <c r="BD7" i="12" s="1"/>
  <c r="AR7" i="12"/>
  <c r="BF7" i="12" s="1"/>
  <c r="BF9" i="12"/>
  <c r="BD36" i="12"/>
  <c r="BD40" i="12" s="1"/>
  <c r="AC40" i="1"/>
  <c r="H62" i="1"/>
  <c r="AG40" i="1"/>
  <c r="W40" i="1"/>
  <c r="D10" i="7"/>
  <c r="C19" i="6"/>
  <c r="BC7" i="1"/>
  <c r="T40" i="1"/>
  <c r="I40" i="1"/>
  <c r="AM40" i="1"/>
  <c r="AJ40" i="1"/>
  <c r="AB40" i="1"/>
  <c r="U40" i="1"/>
  <c r="R40" i="1"/>
  <c r="AI40" i="1"/>
  <c r="Q40" i="1"/>
  <c r="H40" i="12"/>
  <c r="C33" i="6"/>
  <c r="P40" i="1"/>
  <c r="G40" i="1"/>
  <c r="AO40" i="1"/>
  <c r="AH40" i="1"/>
  <c r="AT40" i="1"/>
  <c r="BB40" i="1"/>
  <c r="AJ40" i="12"/>
  <c r="AJ7" i="12"/>
  <c r="BE7" i="12" s="1"/>
  <c r="X40" i="12"/>
  <c r="AR40" i="12"/>
  <c r="AV40" i="12"/>
  <c r="BG9" i="6"/>
  <c r="BH9" i="6" s="1"/>
  <c r="J40" i="12"/>
  <c r="M40" i="12"/>
  <c r="Z40" i="12"/>
  <c r="AC40" i="12"/>
  <c r="AM40" i="12"/>
  <c r="AP40" i="12"/>
  <c r="BG40" i="6"/>
  <c r="BH40" i="6" s="1"/>
  <c r="AA40" i="1"/>
  <c r="X40" i="1"/>
  <c r="L40" i="1"/>
  <c r="H40" i="1"/>
  <c r="C40" i="1"/>
  <c r="AF40" i="1"/>
  <c r="AP40" i="1"/>
  <c r="AS40" i="1"/>
  <c r="AY40" i="1"/>
  <c r="BF74" i="1"/>
  <c r="BG74" i="1" s="1"/>
  <c r="BF73" i="1"/>
  <c r="BG73" i="1" s="1"/>
  <c r="BF69" i="1"/>
  <c r="BF13" i="12"/>
  <c r="BG13" i="12" s="1"/>
  <c r="BF14" i="12"/>
  <c r="BG14" i="12" s="1"/>
  <c r="BF15" i="12"/>
  <c r="BG15" i="12" s="1"/>
  <c r="BF16" i="12"/>
  <c r="BG16" i="12" s="1"/>
  <c r="BF17" i="12"/>
  <c r="BG17" i="12" s="1"/>
  <c r="BF18" i="12"/>
  <c r="BG18" i="12" s="1"/>
  <c r="BF19" i="12"/>
  <c r="BG19" i="12" s="1"/>
  <c r="BF20" i="12"/>
  <c r="BG20" i="12" s="1"/>
  <c r="BF21" i="12"/>
  <c r="BG21" i="12" s="1"/>
  <c r="BF22" i="12"/>
  <c r="BG22" i="12" s="1"/>
  <c r="BF23" i="12"/>
  <c r="BG23" i="12" s="1"/>
  <c r="BF24" i="12"/>
  <c r="BG24" i="12" s="1"/>
  <c r="BF25" i="12"/>
  <c r="BG25" i="12" s="1"/>
  <c r="BF26" i="12"/>
  <c r="BG26" i="12" s="1"/>
  <c r="BF27" i="12"/>
  <c r="BG27" i="12" s="1"/>
  <c r="BF28" i="12"/>
  <c r="BG28" i="12" s="1"/>
  <c r="BF29" i="12"/>
  <c r="BG29" i="12" s="1"/>
  <c r="BF30" i="12"/>
  <c r="BG30" i="12" s="1"/>
  <c r="BF31" i="12"/>
  <c r="BG31" i="12" s="1"/>
  <c r="BF32" i="12"/>
  <c r="BG32" i="12" s="1"/>
  <c r="BF33" i="12"/>
  <c r="BG33" i="12" s="1"/>
  <c r="BF34" i="12"/>
  <c r="BG34" i="12" s="1"/>
  <c r="BF35" i="12"/>
  <c r="BG35" i="12" s="1"/>
  <c r="K40" i="12"/>
  <c r="N40" i="12"/>
  <c r="Q40" i="12"/>
  <c r="AA40" i="12"/>
  <c r="AD40" i="12"/>
  <c r="AG40" i="12"/>
  <c r="AQ40" i="12"/>
  <c r="AT40" i="12"/>
  <c r="AW40" i="12"/>
  <c r="BF69" i="12"/>
  <c r="BF74" i="12"/>
  <c r="BG74" i="12" s="1"/>
  <c r="BG31" i="6"/>
  <c r="BH31" i="6" s="1"/>
  <c r="K40" i="1"/>
  <c r="AW61" i="1"/>
  <c r="E40" i="12"/>
  <c r="O40" i="12"/>
  <c r="R40" i="12"/>
  <c r="U40" i="12"/>
  <c r="AE40" i="12"/>
  <c r="AH40" i="12"/>
  <c r="AK40" i="12"/>
  <c r="AU40" i="12"/>
  <c r="AX40" i="12"/>
  <c r="BA40" i="12"/>
  <c r="BH26" i="6"/>
  <c r="BH4" i="6"/>
  <c r="A14" i="7"/>
  <c r="A15" i="7" s="1"/>
  <c r="A16" i="7" s="1"/>
  <c r="D12" i="7"/>
  <c r="F4" i="1"/>
  <c r="D13" i="7" s="1"/>
  <c r="D11" i="7"/>
  <c r="BD55" i="12"/>
  <c r="BD64" i="12"/>
  <c r="AJ61" i="1"/>
  <c r="Q13" i="6"/>
  <c r="BD13" i="6"/>
  <c r="AW64" i="12"/>
  <c r="BF64" i="12" s="1"/>
  <c r="BF55" i="12"/>
  <c r="AG64" i="12"/>
  <c r="BE64" i="12" s="1"/>
  <c r="BE55" i="12"/>
  <c r="BG42" i="12"/>
  <c r="BE9" i="6"/>
  <c r="AC61" i="1"/>
  <c r="AG61" i="1"/>
  <c r="AF61" i="1"/>
  <c r="AN61" i="1"/>
  <c r="AO61" i="1"/>
  <c r="AR61" i="1"/>
  <c r="AS61" i="1"/>
  <c r="BA61" i="1"/>
  <c r="AZ61" i="1"/>
  <c r="BC58" i="12"/>
  <c r="D64" i="12"/>
  <c r="BC55" i="12"/>
  <c r="G60" i="1" l="1"/>
  <c r="AJ62" i="1"/>
  <c r="AF17" i="6"/>
  <c r="AF62" i="1" s="1"/>
  <c r="AE8" i="6"/>
  <c r="BA62" i="1"/>
  <c r="Y60" i="1"/>
  <c r="N60" i="1"/>
  <c r="Y62" i="1"/>
  <c r="AH62" i="1"/>
  <c r="T62" i="1"/>
  <c r="D62" i="1"/>
  <c r="BC40" i="1"/>
  <c r="AI60" i="1"/>
  <c r="AM62" i="1"/>
  <c r="AH60" i="1"/>
  <c r="K62" i="1"/>
  <c r="AZ60" i="1"/>
  <c r="AK62" i="1"/>
  <c r="AN62" i="1"/>
  <c r="U62" i="1"/>
  <c r="N62" i="1"/>
  <c r="AI62" i="1"/>
  <c r="BB60" i="1"/>
  <c r="U60" i="1"/>
  <c r="AG62" i="1"/>
  <c r="W60" i="1"/>
  <c r="BA60" i="1"/>
  <c r="AY60" i="1"/>
  <c r="BF36" i="1"/>
  <c r="BF40" i="1" s="1"/>
  <c r="D60" i="1"/>
  <c r="R17" i="6"/>
  <c r="S8" i="6"/>
  <c r="AT17" i="6"/>
  <c r="AU8" i="6"/>
  <c r="AS8" i="6"/>
  <c r="Q8" i="6"/>
  <c r="P60" i="1" s="1"/>
  <c r="BG23" i="1"/>
  <c r="BG36" i="1" s="1"/>
  <c r="T8" i="6"/>
  <c r="T60" i="1" s="1"/>
  <c r="AV8" i="6"/>
  <c r="AV60" i="1" s="1"/>
  <c r="Q17" i="6"/>
  <c r="P62" i="1" s="1"/>
  <c r="AS17" i="6"/>
  <c r="AR62" i="1" s="1"/>
  <c r="BF10" i="12"/>
  <c r="AX60" i="1"/>
  <c r="AE17" i="6"/>
  <c r="AF8" i="6"/>
  <c r="AD17" i="6"/>
  <c r="AC62" i="1" s="1"/>
  <c r="S17" i="6"/>
  <c r="S62" i="1" s="1"/>
  <c r="AD8" i="6"/>
  <c r="AC60" i="1" s="1"/>
  <c r="AU17" i="6"/>
  <c r="R8" i="6"/>
  <c r="AT8" i="6"/>
  <c r="F10" i="7"/>
  <c r="C42" i="1" s="1"/>
  <c r="E36" i="6"/>
  <c r="D46" i="12"/>
  <c r="V62" i="1"/>
  <c r="C54" i="12"/>
  <c r="C63" i="12" s="1"/>
  <c r="C66" i="12" s="1"/>
  <c r="C78" i="12" s="1"/>
  <c r="C82" i="12" s="1"/>
  <c r="D32" i="6" s="1"/>
  <c r="X62" i="1"/>
  <c r="BG61" i="12"/>
  <c r="BG58" i="1"/>
  <c r="Z60" i="1"/>
  <c r="F62" i="1"/>
  <c r="H60" i="1"/>
  <c r="C46" i="12"/>
  <c r="X60" i="1"/>
  <c r="AN60" i="1"/>
  <c r="BC76" i="12"/>
  <c r="E40" i="6"/>
  <c r="D56" i="12"/>
  <c r="D63" i="12" s="1"/>
  <c r="E10" i="7"/>
  <c r="B11" i="7"/>
  <c r="B12" i="7" s="1"/>
  <c r="F12" i="7" s="1"/>
  <c r="E42" i="1" s="1"/>
  <c r="E43" i="12"/>
  <c r="E56" i="12" s="1"/>
  <c r="AQ62" i="1"/>
  <c r="AW60" i="1"/>
  <c r="AV62" i="1"/>
  <c r="BG9" i="1"/>
  <c r="BG10" i="1" s="1"/>
  <c r="BC61" i="1"/>
  <c r="BG62" i="12"/>
  <c r="BD76" i="12"/>
  <c r="BG60" i="12"/>
  <c r="BG73" i="12"/>
  <c r="AP62" i="1"/>
  <c r="BG75" i="12"/>
  <c r="BG58" i="12"/>
  <c r="E62" i="1"/>
  <c r="BD61" i="1"/>
  <c r="BG8" i="6"/>
  <c r="BH8" i="6" s="1"/>
  <c r="Z62" i="1"/>
  <c r="AA60" i="1"/>
  <c r="J60" i="1"/>
  <c r="BG36" i="12"/>
  <c r="AX62" i="1"/>
  <c r="BF61" i="1"/>
  <c r="M60" i="1"/>
  <c r="I62" i="1"/>
  <c r="AQ60" i="1"/>
  <c r="BE40" i="1"/>
  <c r="BG9" i="12"/>
  <c r="BG10" i="12" s="1"/>
  <c r="BC10" i="12"/>
  <c r="G62" i="1"/>
  <c r="AO60" i="1"/>
  <c r="AP60" i="1"/>
  <c r="E60" i="1"/>
  <c r="F60" i="1"/>
  <c r="AZ62" i="1"/>
  <c r="AY62" i="1"/>
  <c r="BG17" i="6"/>
  <c r="BH17" i="6" s="1"/>
  <c r="BB62" i="1"/>
  <c r="BD8" i="6"/>
  <c r="BG7" i="12"/>
  <c r="AW62" i="1"/>
  <c r="BD7" i="1"/>
  <c r="J62" i="1"/>
  <c r="AO62" i="1"/>
  <c r="BF17" i="6"/>
  <c r="AJ60" i="1"/>
  <c r="AK60" i="1"/>
  <c r="AL60" i="1"/>
  <c r="BF70" i="12"/>
  <c r="BG69" i="12"/>
  <c r="BG70" i="12" s="1"/>
  <c r="BF36" i="12"/>
  <c r="BF40" i="12" s="1"/>
  <c r="BF76" i="12"/>
  <c r="AB60" i="1"/>
  <c r="BD10" i="1"/>
  <c r="BD40" i="1"/>
  <c r="AB62" i="1"/>
  <c r="BE17" i="6"/>
  <c r="BC40" i="12"/>
  <c r="BD17" i="6"/>
  <c r="O62" i="1"/>
  <c r="BE7" i="1"/>
  <c r="AG60" i="1"/>
  <c r="AL62" i="1"/>
  <c r="G4" i="1"/>
  <c r="H4" i="1" s="1"/>
  <c r="BF70" i="1"/>
  <c r="BG69" i="1"/>
  <c r="BG70" i="1" s="1"/>
  <c r="O60" i="1"/>
  <c r="M62" i="1"/>
  <c r="L62" i="1"/>
  <c r="W62" i="1"/>
  <c r="BF7" i="1"/>
  <c r="L60" i="1"/>
  <c r="K60" i="1"/>
  <c r="AM60" i="1"/>
  <c r="AA62" i="1"/>
  <c r="BE61" i="1"/>
  <c r="H28" i="6"/>
  <c r="I6" i="6"/>
  <c r="BG55" i="12"/>
  <c r="A17" i="7"/>
  <c r="BC64" i="12"/>
  <c r="BG64" i="12" s="1"/>
  <c r="R13" i="6"/>
  <c r="R62" i="1" l="1"/>
  <c r="BG76" i="12"/>
  <c r="S60" i="1"/>
  <c r="C43" i="1"/>
  <c r="D18" i="6" s="1"/>
  <c r="C55" i="1"/>
  <c r="C64" i="1" s="1"/>
  <c r="G10" i="7"/>
  <c r="H10" i="7" s="1"/>
  <c r="E12" i="7"/>
  <c r="I12" i="7" s="1"/>
  <c r="E41" i="6"/>
  <c r="B13" i="7"/>
  <c r="B14" i="7" s="1"/>
  <c r="E11" i="7"/>
  <c r="AE60" i="1"/>
  <c r="D33" i="6"/>
  <c r="D80" i="12"/>
  <c r="BG61" i="1"/>
  <c r="D65" i="12"/>
  <c r="D66" i="12" s="1"/>
  <c r="D78" i="12" s="1"/>
  <c r="AT60" i="1"/>
  <c r="I10" i="7"/>
  <c r="F40" i="6"/>
  <c r="E65" i="12" s="1"/>
  <c r="BG40" i="1"/>
  <c r="F43" i="12"/>
  <c r="E45" i="12"/>
  <c r="E46" i="12" s="1"/>
  <c r="D14" i="7"/>
  <c r="BC60" i="1"/>
  <c r="BC62" i="1"/>
  <c r="AT62" i="1"/>
  <c r="AS60" i="1"/>
  <c r="AR60" i="1"/>
  <c r="AD62" i="1"/>
  <c r="AE62" i="1"/>
  <c r="AU62" i="1"/>
  <c r="AS62" i="1"/>
  <c r="BG7" i="1"/>
  <c r="AD60" i="1"/>
  <c r="Q60" i="1"/>
  <c r="R60" i="1"/>
  <c r="AF60" i="1"/>
  <c r="Q62" i="1"/>
  <c r="BD62" i="1" s="1"/>
  <c r="AU60" i="1"/>
  <c r="BG40" i="12"/>
  <c r="A18" i="7"/>
  <c r="S13" i="6"/>
  <c r="I4" i="1"/>
  <c r="D16" i="7" s="1"/>
  <c r="D15" i="7"/>
  <c r="E55" i="1"/>
  <c r="E64" i="1" s="1"/>
  <c r="I28" i="6"/>
  <c r="J6" i="6"/>
  <c r="G12" i="7" l="1"/>
  <c r="E75" i="1" s="1"/>
  <c r="E76" i="1" s="1"/>
  <c r="C56" i="1"/>
  <c r="C65" i="1" s="1"/>
  <c r="C75" i="1"/>
  <c r="D15" i="6" s="1"/>
  <c r="C45" i="1"/>
  <c r="F13" i="7"/>
  <c r="F42" i="1" s="1"/>
  <c r="F55" i="1" s="1"/>
  <c r="F64" i="1" s="1"/>
  <c r="I11" i="7"/>
  <c r="E13" i="7"/>
  <c r="I13" i="7" s="1"/>
  <c r="D82" i="12"/>
  <c r="E32" i="6" s="1"/>
  <c r="E33" i="6" s="1"/>
  <c r="E54" i="12"/>
  <c r="E63" i="12" s="1"/>
  <c r="E66" i="12" s="1"/>
  <c r="E78" i="12" s="1"/>
  <c r="F36" i="6"/>
  <c r="BE62" i="1"/>
  <c r="G43" i="12"/>
  <c r="H43" i="12" s="1"/>
  <c r="H56" i="12" s="1"/>
  <c r="F45" i="12"/>
  <c r="F56" i="12"/>
  <c r="G40" i="6"/>
  <c r="BE60" i="1"/>
  <c r="BD60" i="1"/>
  <c r="BF62" i="1"/>
  <c r="BF60" i="1"/>
  <c r="T13" i="6"/>
  <c r="A19" i="7"/>
  <c r="J4" i="1"/>
  <c r="K6" i="6"/>
  <c r="F14" i="7"/>
  <c r="G42" i="1" s="1"/>
  <c r="E14" i="7"/>
  <c r="B15" i="7"/>
  <c r="C11" i="7"/>
  <c r="F11" i="7"/>
  <c r="J28" i="6"/>
  <c r="C76" i="1" l="1"/>
  <c r="C46" i="1"/>
  <c r="C54" i="1"/>
  <c r="C63" i="1" s="1"/>
  <c r="C66" i="1" s="1"/>
  <c r="D14" i="6"/>
  <c r="D19" i="6" s="1"/>
  <c r="G13" i="7"/>
  <c r="F75" i="1" s="1"/>
  <c r="F76" i="1" s="1"/>
  <c r="G36" i="6"/>
  <c r="G41" i="6" s="1"/>
  <c r="F41" i="6"/>
  <c r="E80" i="12"/>
  <c r="E82" i="12" s="1"/>
  <c r="F32" i="6" s="1"/>
  <c r="H40" i="6"/>
  <c r="I40" i="6" s="1"/>
  <c r="H65" i="12" s="1"/>
  <c r="BG62" i="1"/>
  <c r="I43" i="12"/>
  <c r="I56" i="12" s="1"/>
  <c r="H45" i="12"/>
  <c r="H46" i="12" s="1"/>
  <c r="F65" i="12"/>
  <c r="F54" i="12"/>
  <c r="F63" i="12" s="1"/>
  <c r="F46" i="12"/>
  <c r="G56" i="12"/>
  <c r="G45" i="12"/>
  <c r="BG60" i="1"/>
  <c r="K4" i="1"/>
  <c r="D18" i="7" s="1"/>
  <c r="A20" i="7"/>
  <c r="B16" i="7"/>
  <c r="E15" i="7"/>
  <c r="L6" i="6"/>
  <c r="I14" i="7"/>
  <c r="G14" i="7"/>
  <c r="D17" i="7"/>
  <c r="U13" i="6"/>
  <c r="K28" i="6"/>
  <c r="D42" i="1"/>
  <c r="G11" i="7"/>
  <c r="G55" i="1"/>
  <c r="G64" i="1" s="1"/>
  <c r="C78" i="1" l="1"/>
  <c r="C82" i="1" s="1"/>
  <c r="D10" i="6" s="1"/>
  <c r="D11" i="6" s="1"/>
  <c r="H36" i="6"/>
  <c r="H41" i="6" s="1"/>
  <c r="J40" i="6"/>
  <c r="I65" i="12" s="1"/>
  <c r="F80" i="12"/>
  <c r="F33" i="6"/>
  <c r="H54" i="12"/>
  <c r="H63" i="12" s="1"/>
  <c r="H66" i="12" s="1"/>
  <c r="H78" i="12" s="1"/>
  <c r="J43" i="12"/>
  <c r="J45" i="12" s="1"/>
  <c r="G65" i="12"/>
  <c r="I45" i="12"/>
  <c r="I54" i="12" s="1"/>
  <c r="I63" i="12" s="1"/>
  <c r="F66" i="12"/>
  <c r="F78" i="12" s="1"/>
  <c r="G54" i="12"/>
  <c r="G63" i="12" s="1"/>
  <c r="G46" i="12"/>
  <c r="D80" i="1"/>
  <c r="H11" i="7"/>
  <c r="C12" i="7" s="1"/>
  <c r="H12" i="7" s="1"/>
  <c r="C13" i="7" s="1"/>
  <c r="H13" i="7" s="1"/>
  <c r="C14" i="7" s="1"/>
  <c r="H14" i="7" s="1"/>
  <c r="D75" i="1"/>
  <c r="L28" i="6"/>
  <c r="G75" i="1"/>
  <c r="G76" i="1" s="1"/>
  <c r="A21" i="7"/>
  <c r="D55" i="1"/>
  <c r="D43" i="1"/>
  <c r="E43" i="1" s="1"/>
  <c r="F43" i="1" s="1"/>
  <c r="B17" i="7"/>
  <c r="F16" i="7"/>
  <c r="I42" i="1" s="1"/>
  <c r="E16" i="7"/>
  <c r="I15" i="7"/>
  <c r="V13" i="6"/>
  <c r="M6" i="6"/>
  <c r="L4" i="1"/>
  <c r="I36" i="6" l="1"/>
  <c r="I41" i="6" s="1"/>
  <c r="K43" i="12"/>
  <c r="K45" i="12" s="1"/>
  <c r="F82" i="12"/>
  <c r="G32" i="6" s="1"/>
  <c r="G80" i="12" s="1"/>
  <c r="K40" i="6"/>
  <c r="I46" i="12"/>
  <c r="J56" i="12"/>
  <c r="G66" i="12"/>
  <c r="G78" i="12" s="1"/>
  <c r="I66" i="12"/>
  <c r="I78" i="12" s="1"/>
  <c r="J46" i="12"/>
  <c r="J54" i="12"/>
  <c r="F56" i="1"/>
  <c r="F45" i="1"/>
  <c r="G43" i="1"/>
  <c r="B18" i="7"/>
  <c r="E17" i="7"/>
  <c r="F17" i="7"/>
  <c r="J42" i="1" s="1"/>
  <c r="D76" i="1"/>
  <c r="E15" i="6"/>
  <c r="F15" i="6" s="1"/>
  <c r="G15" i="6" s="1"/>
  <c r="H15" i="6" s="1"/>
  <c r="M4" i="1"/>
  <c r="D19" i="7"/>
  <c r="N6" i="6"/>
  <c r="D64" i="1"/>
  <c r="C15" i="7"/>
  <c r="F15" i="7"/>
  <c r="G16" i="7"/>
  <c r="I16" i="7"/>
  <c r="D56" i="1"/>
  <c r="E18" i="6"/>
  <c r="F18" i="6" s="1"/>
  <c r="G18" i="6" s="1"/>
  <c r="D45" i="1"/>
  <c r="M28" i="6"/>
  <c r="W13" i="6"/>
  <c r="I55" i="1"/>
  <c r="I64" i="1" s="1"/>
  <c r="E56" i="1"/>
  <c r="E45" i="1"/>
  <c r="A22" i="7"/>
  <c r="J36" i="6" l="1"/>
  <c r="K36" i="6" s="1"/>
  <c r="G33" i="6"/>
  <c r="L43" i="12"/>
  <c r="M43" i="12" s="1"/>
  <c r="M56" i="12" s="1"/>
  <c r="K56" i="12"/>
  <c r="J65" i="12"/>
  <c r="L40" i="6"/>
  <c r="J63" i="12"/>
  <c r="G82" i="12"/>
  <c r="H32" i="6" s="1"/>
  <c r="H80" i="12" s="1"/>
  <c r="H82" i="12" s="1"/>
  <c r="I32" i="6" s="1"/>
  <c r="E65" i="1"/>
  <c r="H18" i="6"/>
  <c r="J41" i="6"/>
  <c r="K46" i="12"/>
  <c r="K54" i="12"/>
  <c r="A23" i="7"/>
  <c r="N4" i="1"/>
  <c r="D21" i="7" s="1"/>
  <c r="N28" i="6"/>
  <c r="D20" i="7"/>
  <c r="I75" i="1"/>
  <c r="I76" i="1" s="1"/>
  <c r="G56" i="1"/>
  <c r="G45" i="1"/>
  <c r="D54" i="1"/>
  <c r="D46" i="1"/>
  <c r="E14" i="6"/>
  <c r="H42" i="1"/>
  <c r="G15" i="7"/>
  <c r="J55" i="1"/>
  <c r="J64" i="1" s="1"/>
  <c r="F54" i="1"/>
  <c r="F63" i="1" s="1"/>
  <c r="F46" i="1"/>
  <c r="B19" i="7"/>
  <c r="F18" i="7"/>
  <c r="K42" i="1" s="1"/>
  <c r="E18" i="7"/>
  <c r="X13" i="6"/>
  <c r="E54" i="1"/>
  <c r="E63" i="1" s="1"/>
  <c r="E46" i="1"/>
  <c r="D65" i="1"/>
  <c r="O6" i="6"/>
  <c r="G17" i="7"/>
  <c r="I17" i="7"/>
  <c r="F65" i="1"/>
  <c r="L45" i="12" l="1"/>
  <c r="L46" i="12" s="1"/>
  <c r="M40" i="6"/>
  <c r="N40" i="6" s="1"/>
  <c r="K63" i="12"/>
  <c r="L56" i="12"/>
  <c r="N43" i="12"/>
  <c r="N45" i="12" s="1"/>
  <c r="M45" i="12"/>
  <c r="M46" i="12" s="1"/>
  <c r="K65" i="12"/>
  <c r="K66" i="12" s="1"/>
  <c r="K78" i="12" s="1"/>
  <c r="J66" i="12"/>
  <c r="J78" i="12" s="1"/>
  <c r="H33" i="6"/>
  <c r="E66" i="1"/>
  <c r="E78" i="1" s="1"/>
  <c r="G65" i="1"/>
  <c r="I80" i="12"/>
  <c r="I82" i="12" s="1"/>
  <c r="J32" i="6" s="1"/>
  <c r="I33" i="6"/>
  <c r="K41" i="6"/>
  <c r="L36" i="6"/>
  <c r="P6" i="6"/>
  <c r="Y13" i="6"/>
  <c r="H15" i="7"/>
  <c r="C16" i="7" s="1"/>
  <c r="H16" i="7" s="1"/>
  <c r="C17" i="7" s="1"/>
  <c r="H17" i="7" s="1"/>
  <c r="C18" i="7" s="1"/>
  <c r="H75" i="1"/>
  <c r="O4" i="1"/>
  <c r="D22" i="7" s="1"/>
  <c r="H55" i="1"/>
  <c r="H43" i="1"/>
  <c r="H45" i="1" s="1"/>
  <c r="I18" i="7"/>
  <c r="G18" i="7"/>
  <c r="E19" i="6"/>
  <c r="F14" i="6"/>
  <c r="K55" i="1"/>
  <c r="K64" i="1" s="1"/>
  <c r="F66" i="1"/>
  <c r="F78" i="1" s="1"/>
  <c r="G46" i="1"/>
  <c r="G54" i="1"/>
  <c r="G63" i="1" s="1"/>
  <c r="J75" i="1"/>
  <c r="J76" i="1" s="1"/>
  <c r="E19" i="7"/>
  <c r="B20" i="7"/>
  <c r="D63" i="1"/>
  <c r="D66" i="1" s="1"/>
  <c r="D78" i="1" s="1"/>
  <c r="D82" i="1" s="1"/>
  <c r="E10" i="6" s="1"/>
  <c r="O28" i="6"/>
  <c r="A24" i="7"/>
  <c r="M54" i="12" l="1"/>
  <c r="M63" i="12" s="1"/>
  <c r="L54" i="12"/>
  <c r="L63" i="12" s="1"/>
  <c r="L65" i="12"/>
  <c r="G66" i="1"/>
  <c r="G78" i="1" s="1"/>
  <c r="O43" i="12"/>
  <c r="O56" i="12" s="1"/>
  <c r="N56" i="12"/>
  <c r="J80" i="12"/>
  <c r="J82" i="12" s="1"/>
  <c r="K32" i="6" s="1"/>
  <c r="J33" i="6"/>
  <c r="N54" i="12"/>
  <c r="N46" i="12"/>
  <c r="L41" i="6"/>
  <c r="M36" i="6"/>
  <c r="O40" i="6"/>
  <c r="M65" i="12"/>
  <c r="H54" i="1"/>
  <c r="H46" i="1"/>
  <c r="E20" i="7"/>
  <c r="B21" i="7"/>
  <c r="A25" i="7"/>
  <c r="E80" i="1"/>
  <c r="E82" i="1" s="1"/>
  <c r="F10" i="6" s="1"/>
  <c r="E11" i="6"/>
  <c r="H18" i="7"/>
  <c r="K75" i="1"/>
  <c r="K76" i="1" s="1"/>
  <c r="P4" i="1"/>
  <c r="H76" i="1"/>
  <c r="I15" i="6"/>
  <c r="J15" i="6" s="1"/>
  <c r="K15" i="6" s="1"/>
  <c r="H56" i="1"/>
  <c r="I18" i="6"/>
  <c r="P28" i="6"/>
  <c r="I19" i="7"/>
  <c r="G14" i="6"/>
  <c r="F19" i="6"/>
  <c r="I43" i="1"/>
  <c r="J43" i="1" s="1"/>
  <c r="H64" i="1"/>
  <c r="Z13" i="6"/>
  <c r="Q6" i="6"/>
  <c r="BD6" i="6"/>
  <c r="M66" i="12" l="1"/>
  <c r="M78" i="12" s="1"/>
  <c r="O45" i="12"/>
  <c r="O46" i="12" s="1"/>
  <c r="L66" i="12"/>
  <c r="L78" i="12" s="1"/>
  <c r="N63" i="12"/>
  <c r="BC43" i="12"/>
  <c r="BC45" i="12" s="1"/>
  <c r="BC46" i="12" s="1"/>
  <c r="BC56" i="12"/>
  <c r="P43" i="12"/>
  <c r="P45" i="12" s="1"/>
  <c r="C19" i="7"/>
  <c r="F19" i="7"/>
  <c r="L15" i="6"/>
  <c r="K80" i="12"/>
  <c r="K82" i="12" s="1"/>
  <c r="L32" i="6" s="1"/>
  <c r="K33" i="6"/>
  <c r="M41" i="6"/>
  <c r="N36" i="6"/>
  <c r="O54" i="12"/>
  <c r="O63" i="12" s="1"/>
  <c r="P40" i="6"/>
  <c r="N65" i="12"/>
  <c r="J56" i="1"/>
  <c r="J45" i="1"/>
  <c r="H65" i="1"/>
  <c r="Q4" i="1"/>
  <c r="D23" i="7"/>
  <c r="A26" i="7"/>
  <c r="F21" i="7"/>
  <c r="N42" i="1" s="1"/>
  <c r="E21" i="7"/>
  <c r="B22" i="7"/>
  <c r="R6" i="6"/>
  <c r="AA13" i="6"/>
  <c r="K43" i="1"/>
  <c r="G19" i="6"/>
  <c r="H14" i="6"/>
  <c r="I20" i="7"/>
  <c r="I56" i="1"/>
  <c r="I45" i="1"/>
  <c r="BD28" i="6"/>
  <c r="Q28" i="6"/>
  <c r="J18" i="6"/>
  <c r="K18" i="6" s="1"/>
  <c r="L18" i="6" s="1"/>
  <c r="F11" i="6"/>
  <c r="F80" i="1"/>
  <c r="F82" i="1" s="1"/>
  <c r="G10" i="6" s="1"/>
  <c r="H63" i="1"/>
  <c r="N66" i="12" l="1"/>
  <c r="N78" i="12" s="1"/>
  <c r="Q43" i="12"/>
  <c r="R43" i="12" s="1"/>
  <c r="R56" i="12" s="1"/>
  <c r="P56" i="12"/>
  <c r="L42" i="1"/>
  <c r="L55" i="1" s="1"/>
  <c r="L64" i="1" s="1"/>
  <c r="G19" i="7"/>
  <c r="L80" i="12"/>
  <c r="L82" i="12" s="1"/>
  <c r="M32" i="6" s="1"/>
  <c r="M80" i="12" s="1"/>
  <c r="M82" i="12" s="1"/>
  <c r="N32" i="6" s="1"/>
  <c r="N33" i="6" s="1"/>
  <c r="L33" i="6"/>
  <c r="H66" i="1"/>
  <c r="H78" i="1" s="1"/>
  <c r="BC54" i="12"/>
  <c r="BC63" i="12" s="1"/>
  <c r="P54" i="12"/>
  <c r="P46" i="12"/>
  <c r="O36" i="6"/>
  <c r="N41" i="6"/>
  <c r="Q45" i="12"/>
  <c r="BD40" i="6"/>
  <c r="O65" i="12"/>
  <c r="Q40" i="6"/>
  <c r="G80" i="1"/>
  <c r="G82" i="1" s="1"/>
  <c r="H10" i="6" s="1"/>
  <c r="G11" i="6"/>
  <c r="I14" i="6"/>
  <c r="H19" i="6"/>
  <c r="F22" i="7"/>
  <c r="O42" i="1" s="1"/>
  <c r="E22" i="7"/>
  <c r="B23" i="7"/>
  <c r="A27" i="7"/>
  <c r="F20" i="7"/>
  <c r="K56" i="1"/>
  <c r="K65" i="1" s="1"/>
  <c r="K45" i="1"/>
  <c r="AB13" i="6"/>
  <c r="I21" i="7"/>
  <c r="G21" i="7"/>
  <c r="J54" i="1"/>
  <c r="J63" i="1" s="1"/>
  <c r="J46" i="1"/>
  <c r="R28" i="6"/>
  <c r="I46" i="1"/>
  <c r="I54" i="1"/>
  <c r="N55" i="1"/>
  <c r="N64" i="1" s="1"/>
  <c r="J65" i="1"/>
  <c r="I65" i="1"/>
  <c r="S6" i="6"/>
  <c r="R4" i="1"/>
  <c r="D24" i="7"/>
  <c r="P63" i="12" l="1"/>
  <c r="R45" i="12"/>
  <c r="R54" i="12" s="1"/>
  <c r="R63" i="12" s="1"/>
  <c r="S43" i="12"/>
  <c r="S56" i="12" s="1"/>
  <c r="Q56" i="12"/>
  <c r="L43" i="1"/>
  <c r="M18" i="6" s="1"/>
  <c r="H19" i="7"/>
  <c r="C20" i="7" s="1"/>
  <c r="L75" i="1"/>
  <c r="N80" i="12"/>
  <c r="N82" i="12" s="1"/>
  <c r="O32" i="6" s="1"/>
  <c r="O33" i="6" s="1"/>
  <c r="M33" i="6"/>
  <c r="O41" i="6"/>
  <c r="P36" i="6"/>
  <c r="Q54" i="12"/>
  <c r="Q46" i="12"/>
  <c r="BC65" i="12"/>
  <c r="BC66" i="12" s="1"/>
  <c r="BC78" i="12" s="1"/>
  <c r="BC82" i="12" s="1"/>
  <c r="BD80" i="12" s="1"/>
  <c r="O66" i="12"/>
  <c r="O78" i="12" s="1"/>
  <c r="J66" i="1"/>
  <c r="J78" i="1" s="1"/>
  <c r="R40" i="6"/>
  <c r="P65" i="12"/>
  <c r="P66" i="12" s="1"/>
  <c r="P78" i="12" s="1"/>
  <c r="S28" i="6"/>
  <c r="G22" i="7"/>
  <c r="I22" i="7"/>
  <c r="I19" i="6"/>
  <c r="J14" i="6"/>
  <c r="AC13" i="6"/>
  <c r="A28" i="7"/>
  <c r="O55" i="1"/>
  <c r="O64" i="1" s="1"/>
  <c r="N75" i="1"/>
  <c r="N76" i="1" s="1"/>
  <c r="K54" i="1"/>
  <c r="K63" i="1" s="1"/>
  <c r="K66" i="1" s="1"/>
  <c r="K78" i="1" s="1"/>
  <c r="K46" i="1"/>
  <c r="M42" i="1"/>
  <c r="G20" i="7"/>
  <c r="H80" i="1"/>
  <c r="H82" i="1" s="1"/>
  <c r="I10" i="6" s="1"/>
  <c r="H11" i="6"/>
  <c r="T6" i="6"/>
  <c r="I63" i="1"/>
  <c r="I66" i="1" s="1"/>
  <c r="I78" i="1" s="1"/>
  <c r="S4" i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D25" i="7"/>
  <c r="B24" i="7"/>
  <c r="E23" i="7"/>
  <c r="R46" i="12" l="1"/>
  <c r="T43" i="12"/>
  <c r="T56" i="12" s="1"/>
  <c r="Q63" i="12"/>
  <c r="S45" i="12"/>
  <c r="S54" i="12" s="1"/>
  <c r="S63" i="12" s="1"/>
  <c r="L45" i="1"/>
  <c r="L54" i="1" s="1"/>
  <c r="L56" i="1"/>
  <c r="L65" i="1" s="1"/>
  <c r="L76" i="1"/>
  <c r="M15" i="6"/>
  <c r="O80" i="12"/>
  <c r="O82" i="12" s="1"/>
  <c r="P32" i="6" s="1"/>
  <c r="BD32" i="6" s="1"/>
  <c r="BD33" i="6" s="1"/>
  <c r="P41" i="6"/>
  <c r="BD36" i="6"/>
  <c r="BD41" i="6" s="1"/>
  <c r="Q36" i="6"/>
  <c r="S40" i="6"/>
  <c r="Q65" i="12"/>
  <c r="B25" i="7"/>
  <c r="E24" i="7"/>
  <c r="D27" i="7"/>
  <c r="AD13" i="6"/>
  <c r="BE13" i="6"/>
  <c r="T28" i="6"/>
  <c r="I80" i="1"/>
  <c r="I11" i="6"/>
  <c r="H20" i="7"/>
  <c r="C21" i="7" s="1"/>
  <c r="H21" i="7" s="1"/>
  <c r="C22" i="7" s="1"/>
  <c r="H22" i="7" s="1"/>
  <c r="M75" i="1"/>
  <c r="D28" i="7"/>
  <c r="A29" i="7"/>
  <c r="K14" i="6"/>
  <c r="J19" i="6"/>
  <c r="I82" i="1"/>
  <c r="J10" i="6" s="1"/>
  <c r="I23" i="7"/>
  <c r="M55" i="1"/>
  <c r="M43" i="1"/>
  <c r="M45" i="1" s="1"/>
  <c r="BC42" i="1"/>
  <c r="O75" i="1"/>
  <c r="BG4" i="1"/>
  <c r="C23" i="14"/>
  <c r="D32" i="14"/>
  <c r="C29" i="14"/>
  <c r="C70" i="14"/>
  <c r="D34" i="14"/>
  <c r="C33" i="14"/>
  <c r="D18" i="14"/>
  <c r="D29" i="14"/>
  <c r="C21" i="14"/>
  <c r="C86" i="14"/>
  <c r="C26" i="14"/>
  <c r="D7" i="14"/>
  <c r="D26" i="14"/>
  <c r="L86" i="14"/>
  <c r="C5" i="14"/>
  <c r="C18" i="14"/>
  <c r="D13" i="14"/>
  <c r="L96" i="14"/>
  <c r="K96" i="14"/>
  <c r="D71" i="14"/>
  <c r="D21" i="14"/>
  <c r="D72" i="14"/>
  <c r="C15" i="14"/>
  <c r="D15" i="14"/>
  <c r="D92" i="14"/>
  <c r="D16" i="14"/>
  <c r="D5" i="14"/>
  <c r="D24" i="14"/>
  <c r="D70" i="14"/>
  <c r="C35" i="14"/>
  <c r="C14" i="14"/>
  <c r="N1" i="14"/>
  <c r="C34" i="14"/>
  <c r="D28" i="14"/>
  <c r="C31" i="14"/>
  <c r="H87" i="14"/>
  <c r="C28" i="14"/>
  <c r="C16" i="14"/>
  <c r="C32" i="14"/>
  <c r="L92" i="14"/>
  <c r="D96" i="14"/>
  <c r="D17" i="14"/>
  <c r="C57" i="14"/>
  <c r="C27" i="14"/>
  <c r="D19" i="14"/>
  <c r="D42" i="14"/>
  <c r="C66" i="14"/>
  <c r="D66" i="14"/>
  <c r="D20" i="14"/>
  <c r="C19" i="14"/>
  <c r="D31" i="14"/>
  <c r="D59" i="14"/>
  <c r="K86" i="14"/>
  <c r="D57" i="14"/>
  <c r="G86" i="14"/>
  <c r="C58" i="14"/>
  <c r="C7" i="14"/>
  <c r="K87" i="14"/>
  <c r="C38" i="14"/>
  <c r="D25" i="14"/>
  <c r="M2" i="14"/>
  <c r="K27" i="14" s="1"/>
  <c r="D35" i="14"/>
  <c r="D27" i="14"/>
  <c r="C22" i="14"/>
  <c r="D33" i="14"/>
  <c r="H92" i="14"/>
  <c r="L94" i="14"/>
  <c r="D94" i="14"/>
  <c r="D87" i="14"/>
  <c r="C24" i="14"/>
  <c r="H86" i="14"/>
  <c r="G87" i="14"/>
  <c r="C13" i="14"/>
  <c r="C17" i="14"/>
  <c r="H96" i="14"/>
  <c r="C25" i="14"/>
  <c r="C96" i="14"/>
  <c r="L77" i="14"/>
  <c r="H94" i="14"/>
  <c r="L87" i="14"/>
  <c r="C30" i="14"/>
  <c r="C20" i="14"/>
  <c r="D58" i="14"/>
  <c r="D23" i="14"/>
  <c r="D30" i="14"/>
  <c r="C71" i="14"/>
  <c r="K77" i="14"/>
  <c r="D22" i="14"/>
  <c r="D38" i="14"/>
  <c r="D55" i="14" s="1"/>
  <c r="G96" i="14"/>
  <c r="C87" i="14"/>
  <c r="C59" i="14"/>
  <c r="D14" i="14"/>
  <c r="D86" i="14"/>
  <c r="U6" i="6"/>
  <c r="D26" i="7"/>
  <c r="U43" i="12" l="1"/>
  <c r="Q66" i="12"/>
  <c r="Q78" i="12" s="1"/>
  <c r="T45" i="12"/>
  <c r="S46" i="12"/>
  <c r="L46" i="1"/>
  <c r="C23" i="7"/>
  <c r="F23" i="7"/>
  <c r="P33" i="6"/>
  <c r="P80" i="12"/>
  <c r="P82" i="12" s="1"/>
  <c r="Q32" i="6" s="1"/>
  <c r="Q33" i="6" s="1"/>
  <c r="M87" i="14"/>
  <c r="N87" i="14" s="1"/>
  <c r="K34" i="14"/>
  <c r="K66" i="14"/>
  <c r="K67" i="14" s="1"/>
  <c r="L13" i="14"/>
  <c r="K32" i="14"/>
  <c r="L59" i="14"/>
  <c r="K59" i="14"/>
  <c r="K71" i="14"/>
  <c r="L27" i="14"/>
  <c r="M27" i="14" s="1"/>
  <c r="N27" i="14" s="1"/>
  <c r="L29" i="14"/>
  <c r="K20" i="14"/>
  <c r="L32" i="14"/>
  <c r="L71" i="14"/>
  <c r="L20" i="14"/>
  <c r="L21" i="14"/>
  <c r="L38" i="14"/>
  <c r="L55" i="14" s="1"/>
  <c r="L14" i="14"/>
  <c r="K22" i="14"/>
  <c r="L7" i="14"/>
  <c r="L34" i="14"/>
  <c r="L26" i="14"/>
  <c r="E58" i="14"/>
  <c r="F58" i="14" s="1"/>
  <c r="I86" i="14"/>
  <c r="J86" i="14" s="1"/>
  <c r="K7" i="14"/>
  <c r="K24" i="14"/>
  <c r="K29" i="14"/>
  <c r="M29" i="14" s="1"/>
  <c r="N29" i="14" s="1"/>
  <c r="K15" i="14"/>
  <c r="K58" i="14"/>
  <c r="L30" i="14"/>
  <c r="K28" i="14"/>
  <c r="L18" i="14"/>
  <c r="K23" i="14"/>
  <c r="L28" i="14"/>
  <c r="K33" i="14"/>
  <c r="L23" i="14"/>
  <c r="E57" i="14"/>
  <c r="F57" i="14" s="1"/>
  <c r="L17" i="14"/>
  <c r="L58" i="14"/>
  <c r="N43" i="1"/>
  <c r="N56" i="1" s="1"/>
  <c r="Q41" i="6"/>
  <c r="R36" i="6"/>
  <c r="E86" i="14"/>
  <c r="F86" i="14" s="1"/>
  <c r="U45" i="12"/>
  <c r="U56" i="12"/>
  <c r="V43" i="12"/>
  <c r="T46" i="12"/>
  <c r="T54" i="12"/>
  <c r="T63" i="12" s="1"/>
  <c r="K16" i="14"/>
  <c r="M96" i="14"/>
  <c r="N96" i="14" s="1"/>
  <c r="T40" i="6"/>
  <c r="R65" i="12"/>
  <c r="R66" i="12" s="1"/>
  <c r="R78" i="12" s="1"/>
  <c r="M46" i="1"/>
  <c r="M54" i="1"/>
  <c r="E13" i="14"/>
  <c r="F13" i="14" s="1"/>
  <c r="C36" i="14"/>
  <c r="L22" i="14"/>
  <c r="K14" i="14"/>
  <c r="L66" i="14"/>
  <c r="L25" i="14"/>
  <c r="L24" i="14"/>
  <c r="K18" i="14"/>
  <c r="L15" i="14"/>
  <c r="L19" i="14"/>
  <c r="E96" i="14"/>
  <c r="F96" i="14" s="1"/>
  <c r="L42" i="14"/>
  <c r="E35" i="14"/>
  <c r="F35" i="14" s="1"/>
  <c r="L57" i="14"/>
  <c r="E71" i="14"/>
  <c r="F71" i="14" s="1"/>
  <c r="E18" i="14"/>
  <c r="F18" i="14" s="1"/>
  <c r="K21" i="14"/>
  <c r="L31" i="14"/>
  <c r="O76" i="1"/>
  <c r="BC75" i="1"/>
  <c r="M64" i="1"/>
  <c r="BC64" i="1" s="1"/>
  <c r="BC55" i="1"/>
  <c r="J80" i="1"/>
  <c r="J82" i="1" s="1"/>
  <c r="K10" i="6" s="1"/>
  <c r="J11" i="6"/>
  <c r="AE13" i="6"/>
  <c r="V6" i="6"/>
  <c r="E20" i="14"/>
  <c r="F20" i="14" s="1"/>
  <c r="M77" i="14"/>
  <c r="N77" i="14" s="1"/>
  <c r="E25" i="14"/>
  <c r="F25" i="14" s="1"/>
  <c r="E87" i="14"/>
  <c r="F87" i="14" s="1"/>
  <c r="E22" i="14"/>
  <c r="F22" i="14" s="1"/>
  <c r="K30" i="14"/>
  <c r="C55" i="14"/>
  <c r="E55" i="14" s="1"/>
  <c r="E38" i="14"/>
  <c r="F38" i="14" s="1"/>
  <c r="K38" i="14"/>
  <c r="E59" i="14"/>
  <c r="F59" i="14" s="1"/>
  <c r="E19" i="14"/>
  <c r="F19" i="14" s="1"/>
  <c r="E27" i="14"/>
  <c r="F27" i="14" s="1"/>
  <c r="E28" i="14"/>
  <c r="F28" i="14" s="1"/>
  <c r="I87" i="14"/>
  <c r="J87" i="14" s="1"/>
  <c r="E34" i="14"/>
  <c r="F34" i="14" s="1"/>
  <c r="E70" i="14"/>
  <c r="D73" i="14"/>
  <c r="E5" i="14"/>
  <c r="F5" i="14" s="1"/>
  <c r="K5" i="14"/>
  <c r="K25" i="14"/>
  <c r="N2" i="14"/>
  <c r="D9" i="14"/>
  <c r="D10" i="14" s="1"/>
  <c r="E23" i="14"/>
  <c r="F23" i="14" s="1"/>
  <c r="M76" i="1"/>
  <c r="N15" i="6"/>
  <c r="O15" i="6" s="1"/>
  <c r="P15" i="6" s="1"/>
  <c r="E17" i="14"/>
  <c r="F17" i="14" s="1"/>
  <c r="E24" i="14"/>
  <c r="F24" i="14" s="1"/>
  <c r="J2" i="14"/>
  <c r="I2" i="14"/>
  <c r="H14" i="14" s="1"/>
  <c r="C3" i="14"/>
  <c r="C48" i="14" s="1"/>
  <c r="C81" i="14" s="1"/>
  <c r="L5" i="14"/>
  <c r="E7" i="14"/>
  <c r="F7" i="14" s="1"/>
  <c r="C9" i="14"/>
  <c r="L70" i="14"/>
  <c r="C67" i="14"/>
  <c r="K57" i="14"/>
  <c r="L33" i="14"/>
  <c r="E32" i="14"/>
  <c r="F32" i="14" s="1"/>
  <c r="E31" i="14"/>
  <c r="F31" i="14" s="1"/>
  <c r="K17" i="14"/>
  <c r="K13" i="14"/>
  <c r="E15" i="14"/>
  <c r="F15" i="14" s="1"/>
  <c r="K19" i="14"/>
  <c r="E26" i="14"/>
  <c r="F26" i="14" s="1"/>
  <c r="E21" i="14"/>
  <c r="F21" i="14" s="1"/>
  <c r="E33" i="14"/>
  <c r="F33" i="14" s="1"/>
  <c r="K35" i="14"/>
  <c r="L14" i="6"/>
  <c r="K19" i="6"/>
  <c r="U28" i="6"/>
  <c r="L63" i="1"/>
  <c r="L66" i="1" s="1"/>
  <c r="L78" i="1" s="1"/>
  <c r="I24" i="7"/>
  <c r="E30" i="14"/>
  <c r="F30" i="14" s="1"/>
  <c r="I96" i="14"/>
  <c r="J96" i="14" s="1"/>
  <c r="K26" i="14"/>
  <c r="K31" i="14"/>
  <c r="L35" i="14"/>
  <c r="E66" i="14"/>
  <c r="E67" i="14" s="1"/>
  <c r="D67" i="14"/>
  <c r="D52" i="14"/>
  <c r="K70" i="14"/>
  <c r="E16" i="14"/>
  <c r="F16" i="14" s="1"/>
  <c r="L16" i="14"/>
  <c r="E14" i="14"/>
  <c r="F14" i="14" s="1"/>
  <c r="D36" i="14"/>
  <c r="M86" i="14"/>
  <c r="N86" i="14" s="1"/>
  <c r="L72" i="14"/>
  <c r="E29" i="14"/>
  <c r="F29" i="14" s="1"/>
  <c r="M56" i="1"/>
  <c r="N18" i="6"/>
  <c r="D29" i="7"/>
  <c r="A30" i="7"/>
  <c r="E25" i="7"/>
  <c r="B26" i="7"/>
  <c r="F25" i="7"/>
  <c r="R42" i="1" s="1"/>
  <c r="M20" i="14" l="1"/>
  <c r="N20" i="14" s="1"/>
  <c r="P42" i="1"/>
  <c r="P55" i="1" s="1"/>
  <c r="P64" i="1" s="1"/>
  <c r="G23" i="7"/>
  <c r="M34" i="14"/>
  <c r="N34" i="14" s="1"/>
  <c r="Q80" i="12"/>
  <c r="Q82" i="12" s="1"/>
  <c r="R32" i="6" s="1"/>
  <c r="R80" i="12" s="1"/>
  <c r="R82" i="12" s="1"/>
  <c r="S32" i="6" s="1"/>
  <c r="M71" i="14"/>
  <c r="N71" i="14" s="1"/>
  <c r="M15" i="14"/>
  <c r="N15" i="14" s="1"/>
  <c r="M59" i="14"/>
  <c r="N59" i="14" s="1"/>
  <c r="M32" i="14"/>
  <c r="N32" i="14" s="1"/>
  <c r="M7" i="14"/>
  <c r="N7" i="14" s="1"/>
  <c r="O18" i="6"/>
  <c r="N65" i="1" s="1"/>
  <c r="L9" i="14"/>
  <c r="L10" i="14" s="1"/>
  <c r="M24" i="14"/>
  <c r="N24" i="14" s="1"/>
  <c r="M58" i="14"/>
  <c r="N58" i="14" s="1"/>
  <c r="M22" i="14"/>
  <c r="N22" i="14" s="1"/>
  <c r="M33" i="14"/>
  <c r="N33" i="14" s="1"/>
  <c r="K9" i="14"/>
  <c r="K10" i="14" s="1"/>
  <c r="M23" i="14"/>
  <c r="N23" i="14" s="1"/>
  <c r="N45" i="1"/>
  <c r="N46" i="1" s="1"/>
  <c r="G15" i="14"/>
  <c r="H28" i="14"/>
  <c r="O43" i="1"/>
  <c r="BC43" i="1" s="1"/>
  <c r="M28" i="14"/>
  <c r="N28" i="14" s="1"/>
  <c r="V56" i="12"/>
  <c r="V45" i="12"/>
  <c r="G24" i="14"/>
  <c r="R41" i="6"/>
  <c r="S36" i="6"/>
  <c r="M16" i="14"/>
  <c r="N16" i="14" s="1"/>
  <c r="U46" i="12"/>
  <c r="U54" i="12"/>
  <c r="U63" i="12" s="1"/>
  <c r="D40" i="14"/>
  <c r="W43" i="12"/>
  <c r="X43" i="12" s="1"/>
  <c r="L36" i="14"/>
  <c r="U40" i="6"/>
  <c r="S65" i="12"/>
  <c r="S66" i="12" s="1"/>
  <c r="S78" i="12" s="1"/>
  <c r="F67" i="14"/>
  <c r="R55" i="1"/>
  <c r="R64" i="1" s="1"/>
  <c r="M14" i="6"/>
  <c r="L19" i="6"/>
  <c r="M19" i="14"/>
  <c r="N19" i="14" s="1"/>
  <c r="M17" i="14"/>
  <c r="N17" i="14" s="1"/>
  <c r="F66" i="14"/>
  <c r="M5" i="14"/>
  <c r="E9" i="14"/>
  <c r="F55" i="14"/>
  <c r="W6" i="6"/>
  <c r="M21" i="14"/>
  <c r="N21" i="14" s="1"/>
  <c r="H29" i="14"/>
  <c r="H19" i="14"/>
  <c r="M14" i="14"/>
  <c r="N14" i="14" s="1"/>
  <c r="C40" i="14"/>
  <c r="M35" i="14"/>
  <c r="N35" i="14" s="1"/>
  <c r="BD15" i="6"/>
  <c r="M25" i="14"/>
  <c r="N25" i="14" s="1"/>
  <c r="H32" i="14"/>
  <c r="K55" i="14"/>
  <c r="M38" i="14"/>
  <c r="N38" i="14" s="1"/>
  <c r="M30" i="14"/>
  <c r="N30" i="14" s="1"/>
  <c r="AF13" i="6"/>
  <c r="K80" i="1"/>
  <c r="K82" i="1" s="1"/>
  <c r="L10" i="6" s="1"/>
  <c r="K11" i="6"/>
  <c r="M57" i="14"/>
  <c r="N57" i="14" s="1"/>
  <c r="E36" i="14"/>
  <c r="F36" i="14" s="1"/>
  <c r="E26" i="7"/>
  <c r="F26" i="7"/>
  <c r="S42" i="1" s="1"/>
  <c r="B27" i="7"/>
  <c r="M31" i="14"/>
  <c r="N31" i="14" s="1"/>
  <c r="M26" i="14"/>
  <c r="N26" i="14" s="1"/>
  <c r="V28" i="6"/>
  <c r="M70" i="14"/>
  <c r="N70" i="14" s="1"/>
  <c r="L73" i="14"/>
  <c r="G70" i="14"/>
  <c r="H42" i="14"/>
  <c r="H24" i="14"/>
  <c r="G20" i="14"/>
  <c r="G38" i="14"/>
  <c r="H26" i="14"/>
  <c r="G14" i="14"/>
  <c r="G28" i="14"/>
  <c r="H71" i="14"/>
  <c r="H38" i="14"/>
  <c r="H55" i="14" s="1"/>
  <c r="G25" i="14"/>
  <c r="G34" i="14"/>
  <c r="G7" i="14"/>
  <c r="G29" i="14"/>
  <c r="H25" i="14"/>
  <c r="G22" i="14"/>
  <c r="G32" i="14"/>
  <c r="H23" i="14"/>
  <c r="G23" i="14"/>
  <c r="H57" i="14"/>
  <c r="H15" i="14"/>
  <c r="H7" i="14"/>
  <c r="G27" i="14"/>
  <c r="G17" i="14"/>
  <c r="H18" i="14"/>
  <c r="G18" i="14"/>
  <c r="H66" i="14"/>
  <c r="H72" i="14"/>
  <c r="G16" i="14"/>
  <c r="H22" i="14"/>
  <c r="H5" i="14"/>
  <c r="H58" i="14"/>
  <c r="G5" i="14"/>
  <c r="H16" i="14"/>
  <c r="G59" i="14"/>
  <c r="G19" i="14"/>
  <c r="H31" i="14"/>
  <c r="G35" i="14"/>
  <c r="H70" i="14"/>
  <c r="G13" i="14"/>
  <c r="G21" i="14"/>
  <c r="H21" i="14"/>
  <c r="H20" i="14"/>
  <c r="H33" i="14"/>
  <c r="H59" i="14"/>
  <c r="G71" i="14"/>
  <c r="H27" i="14"/>
  <c r="G31" i="14"/>
  <c r="G30" i="14"/>
  <c r="H13" i="14"/>
  <c r="G26" i="14"/>
  <c r="G57" i="14"/>
  <c r="G58" i="14"/>
  <c r="H30" i="14"/>
  <c r="H35" i="14"/>
  <c r="H17" i="14"/>
  <c r="G66" i="14"/>
  <c r="H34" i="14"/>
  <c r="F70" i="14"/>
  <c r="G33" i="14"/>
  <c r="M63" i="1"/>
  <c r="F24" i="7"/>
  <c r="D61" i="14"/>
  <c r="I25" i="7"/>
  <c r="G25" i="7"/>
  <c r="A31" i="7"/>
  <c r="D30" i="7"/>
  <c r="M65" i="1"/>
  <c r="K36" i="14"/>
  <c r="M13" i="14"/>
  <c r="N13" i="14" s="1"/>
  <c r="G81" i="14"/>
  <c r="G3" i="14"/>
  <c r="G48" i="14"/>
  <c r="C10" i="14"/>
  <c r="E10" i="14" s="1"/>
  <c r="BC76" i="1"/>
  <c r="L52" i="14"/>
  <c r="M18" i="14"/>
  <c r="N18" i="14" s="1"/>
  <c r="L67" i="14"/>
  <c r="M66" i="14"/>
  <c r="H23" i="7" l="1"/>
  <c r="C24" i="7" s="1"/>
  <c r="P75" i="1"/>
  <c r="R33" i="6"/>
  <c r="L40" i="14"/>
  <c r="M9" i="14"/>
  <c r="N9" i="14" s="1"/>
  <c r="I15" i="14"/>
  <c r="J15" i="14" s="1"/>
  <c r="N54" i="1"/>
  <c r="N63" i="1" s="1"/>
  <c r="P43" i="1"/>
  <c r="O45" i="1"/>
  <c r="O54" i="1" s="1"/>
  <c r="P18" i="6"/>
  <c r="BD18" i="6" s="1"/>
  <c r="O56" i="1"/>
  <c r="BC56" i="1" s="1"/>
  <c r="N5" i="14"/>
  <c r="I24" i="14"/>
  <c r="J24" i="14" s="1"/>
  <c r="Y43" i="12"/>
  <c r="X56" i="12"/>
  <c r="X45" i="12"/>
  <c r="T36" i="6"/>
  <c r="S41" i="6"/>
  <c r="V46" i="12"/>
  <c r="V54" i="12"/>
  <c r="V63" i="12" s="1"/>
  <c r="W56" i="12"/>
  <c r="W45" i="12"/>
  <c r="I59" i="14"/>
  <c r="J59" i="14" s="1"/>
  <c r="V40" i="6"/>
  <c r="T65" i="12"/>
  <c r="T66" i="12" s="1"/>
  <c r="T78" i="12" s="1"/>
  <c r="M36" i="14"/>
  <c r="M66" i="1"/>
  <c r="M78" i="1" s="1"/>
  <c r="H36" i="14"/>
  <c r="I66" i="14"/>
  <c r="I67" i="14" s="1"/>
  <c r="H67" i="14"/>
  <c r="I27" i="14"/>
  <c r="J27" i="14" s="1"/>
  <c r="I32" i="14"/>
  <c r="J32" i="14" s="1"/>
  <c r="I29" i="14"/>
  <c r="J29" i="14" s="1"/>
  <c r="H52" i="14"/>
  <c r="B28" i="7"/>
  <c r="F27" i="7"/>
  <c r="T42" i="1" s="1"/>
  <c r="E27" i="7"/>
  <c r="E40" i="14"/>
  <c r="F40" i="14" s="1"/>
  <c r="BC45" i="1"/>
  <c r="BC46" i="1" s="1"/>
  <c r="F9" i="14"/>
  <c r="D31" i="7"/>
  <c r="A32" i="7"/>
  <c r="N66" i="1"/>
  <c r="N78" i="1" s="1"/>
  <c r="G67" i="14"/>
  <c r="I30" i="14"/>
  <c r="J30" i="14" s="1"/>
  <c r="I13" i="14"/>
  <c r="J13" i="14" s="1"/>
  <c r="G36" i="14"/>
  <c r="I19" i="14"/>
  <c r="J19" i="14" s="1"/>
  <c r="I16" i="14"/>
  <c r="J16" i="14" s="1"/>
  <c r="I18" i="14"/>
  <c r="J18" i="14" s="1"/>
  <c r="I57" i="14"/>
  <c r="J57" i="14" s="1"/>
  <c r="I22" i="14"/>
  <c r="J22" i="14" s="1"/>
  <c r="I7" i="14"/>
  <c r="J7" i="14" s="1"/>
  <c r="G9" i="14"/>
  <c r="G10" i="14" s="1"/>
  <c r="I71" i="14"/>
  <c r="J71" i="14" s="1"/>
  <c r="I38" i="14"/>
  <c r="J38" i="14" s="1"/>
  <c r="G55" i="14"/>
  <c r="W28" i="6"/>
  <c r="S55" i="1"/>
  <c r="S64" i="1" s="1"/>
  <c r="AG13" i="6"/>
  <c r="K40" i="14"/>
  <c r="I33" i="14"/>
  <c r="J33" i="14" s="1"/>
  <c r="L61" i="14"/>
  <c r="R75" i="1"/>
  <c r="R76" i="1" s="1"/>
  <c r="Q42" i="1"/>
  <c r="G24" i="7"/>
  <c r="I31" i="14"/>
  <c r="J31" i="14" s="1"/>
  <c r="H73" i="14"/>
  <c r="I70" i="14"/>
  <c r="J70" i="14" s="1"/>
  <c r="I58" i="14"/>
  <c r="J58" i="14" s="1"/>
  <c r="H9" i="14"/>
  <c r="H10" i="14" s="1"/>
  <c r="I23" i="14"/>
  <c r="J23" i="14" s="1"/>
  <c r="I34" i="14"/>
  <c r="J34" i="14" s="1"/>
  <c r="I28" i="14"/>
  <c r="J28" i="14" s="1"/>
  <c r="I20" i="14"/>
  <c r="J20" i="14" s="1"/>
  <c r="I26" i="7"/>
  <c r="G26" i="7"/>
  <c r="M55" i="14"/>
  <c r="N55" i="14" s="1"/>
  <c r="X6" i="6"/>
  <c r="M10" i="14"/>
  <c r="S80" i="12"/>
  <c r="S82" i="12" s="1"/>
  <c r="T32" i="6" s="1"/>
  <c r="S33" i="6"/>
  <c r="M67" i="14"/>
  <c r="N67" i="14" s="1"/>
  <c r="N66" i="14"/>
  <c r="I26" i="14"/>
  <c r="J26" i="14" s="1"/>
  <c r="I21" i="14"/>
  <c r="J21" i="14" s="1"/>
  <c r="I35" i="14"/>
  <c r="J35" i="14" s="1"/>
  <c r="I5" i="14"/>
  <c r="J5" i="14" s="1"/>
  <c r="I17" i="14"/>
  <c r="J17" i="14" s="1"/>
  <c r="I25" i="14"/>
  <c r="J25" i="14" s="1"/>
  <c r="I14" i="14"/>
  <c r="J14" i="14" s="1"/>
  <c r="L80" i="1"/>
  <c r="L82" i="1" s="1"/>
  <c r="M10" i="6" s="1"/>
  <c r="L11" i="6"/>
  <c r="M19" i="6"/>
  <c r="N14" i="6"/>
  <c r="P76" i="1" l="1"/>
  <c r="Q15" i="6"/>
  <c r="M40" i="14"/>
  <c r="N40" i="14" s="1"/>
  <c r="Q18" i="6"/>
  <c r="O46" i="1"/>
  <c r="P45" i="1"/>
  <c r="P46" i="1" s="1"/>
  <c r="O65" i="1"/>
  <c r="BC65" i="1" s="1"/>
  <c r="P56" i="1"/>
  <c r="J66" i="14"/>
  <c r="N36" i="14"/>
  <c r="T41" i="6"/>
  <c r="U36" i="6"/>
  <c r="Y56" i="12"/>
  <c r="Y45" i="12"/>
  <c r="X54" i="12"/>
  <c r="X63" i="12" s="1"/>
  <c r="X46" i="12"/>
  <c r="W54" i="12"/>
  <c r="W63" i="12" s="1"/>
  <c r="W46" i="12"/>
  <c r="J67" i="14"/>
  <c r="Z43" i="12"/>
  <c r="I10" i="14"/>
  <c r="H40" i="14"/>
  <c r="U65" i="12"/>
  <c r="U66" i="12" s="1"/>
  <c r="U78" i="12" s="1"/>
  <c r="W40" i="6"/>
  <c r="N19" i="6"/>
  <c r="O14" i="6"/>
  <c r="Q75" i="1"/>
  <c r="H24" i="7"/>
  <c r="C25" i="7" s="1"/>
  <c r="H25" i="7" s="1"/>
  <c r="C26" i="7" s="1"/>
  <c r="H26" i="7" s="1"/>
  <c r="C27" i="7" s="1"/>
  <c r="G27" i="7"/>
  <c r="I27" i="7"/>
  <c r="Y6" i="6"/>
  <c r="S75" i="1"/>
  <c r="S76" i="1" s="1"/>
  <c r="Q55" i="1"/>
  <c r="Q43" i="1"/>
  <c r="Q45" i="1" s="1"/>
  <c r="AH13" i="6"/>
  <c r="G40" i="14"/>
  <c r="T55" i="1"/>
  <c r="T64" i="1" s="1"/>
  <c r="M80" i="1"/>
  <c r="M82" i="1" s="1"/>
  <c r="N10" i="6" s="1"/>
  <c r="M11" i="6"/>
  <c r="I36" i="14"/>
  <c r="J36" i="14" s="1"/>
  <c r="B29" i="7"/>
  <c r="E28" i="7"/>
  <c r="H61" i="14"/>
  <c r="I9" i="14"/>
  <c r="T80" i="12"/>
  <c r="T82" i="12" s="1"/>
  <c r="U32" i="6" s="1"/>
  <c r="T33" i="6"/>
  <c r="X28" i="6"/>
  <c r="D32" i="7"/>
  <c r="A33" i="7"/>
  <c r="I55" i="14"/>
  <c r="J55" i="14" s="1"/>
  <c r="O63" i="1"/>
  <c r="BC54" i="1"/>
  <c r="P65" i="1" l="1"/>
  <c r="P54" i="1"/>
  <c r="P63" i="1" s="1"/>
  <c r="O66" i="1"/>
  <c r="O78" i="1" s="1"/>
  <c r="R43" i="1"/>
  <c r="R45" i="1" s="1"/>
  <c r="Y54" i="12"/>
  <c r="Y63" i="12" s="1"/>
  <c r="Y46" i="12"/>
  <c r="Z56" i="12"/>
  <c r="Z45" i="12"/>
  <c r="V36" i="6"/>
  <c r="U41" i="6"/>
  <c r="AA43" i="12"/>
  <c r="X40" i="6"/>
  <c r="V65" i="12"/>
  <c r="V66" i="12" s="1"/>
  <c r="V78" i="12" s="1"/>
  <c r="U80" i="12"/>
  <c r="U82" i="12" s="1"/>
  <c r="V32" i="6" s="1"/>
  <c r="U33" i="6"/>
  <c r="I40" i="14"/>
  <c r="J40" i="14" s="1"/>
  <c r="J9" i="14"/>
  <c r="Q64" i="1"/>
  <c r="Z6" i="6"/>
  <c r="T75" i="1"/>
  <c r="T76" i="1" s="1"/>
  <c r="H27" i="7"/>
  <c r="I28" i="7"/>
  <c r="AI13" i="6"/>
  <c r="BC63" i="1"/>
  <c r="BC66" i="1" s="1"/>
  <c r="BC78" i="1" s="1"/>
  <c r="BC82" i="1" s="1"/>
  <c r="BD80" i="1" s="1"/>
  <c r="D33" i="7"/>
  <c r="A34" i="7"/>
  <c r="Y28" i="6"/>
  <c r="F29" i="7"/>
  <c r="V42" i="1" s="1"/>
  <c r="B30" i="7"/>
  <c r="E29" i="7"/>
  <c r="Q56" i="1"/>
  <c r="R18" i="6"/>
  <c r="P14" i="6"/>
  <c r="O19" i="6"/>
  <c r="N80" i="1"/>
  <c r="N82" i="1" s="1"/>
  <c r="O10" i="6" s="1"/>
  <c r="N11" i="6"/>
  <c r="Q54" i="1"/>
  <c r="Q46" i="1"/>
  <c r="Q76" i="1"/>
  <c r="R15" i="6"/>
  <c r="S15" i="6" s="1"/>
  <c r="T15" i="6" s="1"/>
  <c r="P66" i="1" l="1"/>
  <c r="P78" i="1" s="1"/>
  <c r="R56" i="1"/>
  <c r="Q63" i="1"/>
  <c r="S43" i="1"/>
  <c r="T43" i="1" s="1"/>
  <c r="U15" i="6"/>
  <c r="S18" i="6"/>
  <c r="AA56" i="12"/>
  <c r="AA45" i="12"/>
  <c r="Z54" i="12"/>
  <c r="Z63" i="12" s="1"/>
  <c r="Z46" i="12"/>
  <c r="V41" i="6"/>
  <c r="W36" i="6"/>
  <c r="AB43" i="12"/>
  <c r="AC43" i="12" s="1"/>
  <c r="W65" i="12"/>
  <c r="W66" i="12" s="1"/>
  <c r="W78" i="12" s="1"/>
  <c r="Y40" i="6"/>
  <c r="C28" i="7"/>
  <c r="F28" i="7"/>
  <c r="R54" i="1"/>
  <c r="R63" i="1" s="1"/>
  <c r="R46" i="1"/>
  <c r="I29" i="7"/>
  <c r="G29" i="7"/>
  <c r="Z28" i="6"/>
  <c r="V80" i="12"/>
  <c r="V82" i="12" s="1"/>
  <c r="W32" i="6" s="1"/>
  <c r="V33" i="6"/>
  <c r="O80" i="1"/>
  <c r="O82" i="1" s="1"/>
  <c r="P10" i="6" s="1"/>
  <c r="O11" i="6"/>
  <c r="B31" i="7"/>
  <c r="E30" i="7"/>
  <c r="F30" i="7"/>
  <c r="W42" i="1" s="1"/>
  <c r="Q65" i="1"/>
  <c r="V55" i="1"/>
  <c r="V64" i="1" s="1"/>
  <c r="D34" i="7"/>
  <c r="A35" i="7"/>
  <c r="AA6" i="6"/>
  <c r="P19" i="6"/>
  <c r="BD14" i="6"/>
  <c r="BD19" i="6" s="1"/>
  <c r="Q14" i="6"/>
  <c r="AJ13" i="6"/>
  <c r="S45" i="1" l="1"/>
  <c r="S46" i="1" s="1"/>
  <c r="T18" i="6"/>
  <c r="U18" i="6" s="1"/>
  <c r="S56" i="1"/>
  <c r="R65" i="1"/>
  <c r="R66" i="1" s="1"/>
  <c r="R78" i="1" s="1"/>
  <c r="Q66" i="1"/>
  <c r="Q78" i="1" s="1"/>
  <c r="BD43" i="12"/>
  <c r="BD45" i="12" s="1"/>
  <c r="BD46" i="12" s="1"/>
  <c r="AC56" i="12"/>
  <c r="AC45" i="12"/>
  <c r="AD40" i="6"/>
  <c r="AA46" i="12"/>
  <c r="AA54" i="12"/>
  <c r="W41" i="6"/>
  <c r="X36" i="6"/>
  <c r="AB45" i="12"/>
  <c r="AB56" i="12"/>
  <c r="BD56" i="12" s="1"/>
  <c r="AD43" i="12"/>
  <c r="AE43" i="12" s="1"/>
  <c r="Z40" i="6"/>
  <c r="X65" i="12"/>
  <c r="X66" i="12" s="1"/>
  <c r="X78" i="12" s="1"/>
  <c r="R14" i="6"/>
  <c r="Q19" i="6"/>
  <c r="T56" i="1"/>
  <c r="T45" i="1"/>
  <c r="D35" i="7"/>
  <c r="A36" i="7"/>
  <c r="G30" i="7"/>
  <c r="I30" i="7"/>
  <c r="BD10" i="6"/>
  <c r="BD11" i="6" s="1"/>
  <c r="P80" i="1"/>
  <c r="P82" i="1" s="1"/>
  <c r="Q10" i="6" s="1"/>
  <c r="P11" i="6"/>
  <c r="AA28" i="6"/>
  <c r="V75" i="1"/>
  <c r="V76" i="1" s="1"/>
  <c r="AK13" i="6"/>
  <c r="E31" i="7"/>
  <c r="B32" i="7"/>
  <c r="F31" i="7"/>
  <c r="X42" i="1" s="1"/>
  <c r="W80" i="12"/>
  <c r="W82" i="12" s="1"/>
  <c r="X32" i="6" s="1"/>
  <c r="W33" i="6"/>
  <c r="AB6" i="6"/>
  <c r="W55" i="1"/>
  <c r="W64" i="1" s="1"/>
  <c r="U42" i="1"/>
  <c r="G28" i="7"/>
  <c r="S54" i="1" l="1"/>
  <c r="S63" i="1" s="1"/>
  <c r="S65" i="1"/>
  <c r="AE45" i="12"/>
  <c r="AE54" i="12" s="1"/>
  <c r="AE56" i="12"/>
  <c r="X41" i="6"/>
  <c r="Y36" i="6"/>
  <c r="AD56" i="12"/>
  <c r="AD45" i="12"/>
  <c r="AE40" i="6"/>
  <c r="AF40" i="6" s="1"/>
  <c r="AF43" i="12"/>
  <c r="AF56" i="12" s="1"/>
  <c r="AA63" i="12"/>
  <c r="AC46" i="12"/>
  <c r="AC54" i="12"/>
  <c r="AC63" i="12" s="1"/>
  <c r="AB46" i="12"/>
  <c r="AB54" i="12"/>
  <c r="AB63" i="12" s="1"/>
  <c r="AC65" i="12"/>
  <c r="AA40" i="6"/>
  <c r="Y65" i="12"/>
  <c r="Y66" i="12" s="1"/>
  <c r="Y78" i="12" s="1"/>
  <c r="H28" i="7"/>
  <c r="C29" i="7" s="1"/>
  <c r="H29" i="7" s="1"/>
  <c r="C30" i="7" s="1"/>
  <c r="H30" i="7" s="1"/>
  <c r="C31" i="7" s="1"/>
  <c r="U75" i="1"/>
  <c r="I31" i="7"/>
  <c r="G31" i="7"/>
  <c r="D36" i="7"/>
  <c r="A37" i="7"/>
  <c r="U55" i="1"/>
  <c r="U43" i="1"/>
  <c r="X80" i="12"/>
  <c r="X82" i="12" s="1"/>
  <c r="Y32" i="6" s="1"/>
  <c r="X33" i="6"/>
  <c r="AB28" i="6"/>
  <c r="S14" i="6"/>
  <c r="R19" i="6"/>
  <c r="X55" i="1"/>
  <c r="X64" i="1" s="1"/>
  <c r="AL13" i="6"/>
  <c r="W75" i="1"/>
  <c r="W76" i="1" s="1"/>
  <c r="T46" i="1"/>
  <c r="T54" i="1"/>
  <c r="T63" i="1" s="1"/>
  <c r="AC6" i="6"/>
  <c r="E32" i="7"/>
  <c r="B33" i="7"/>
  <c r="Q80" i="1"/>
  <c r="Q82" i="1" s="1"/>
  <c r="R10" i="6" s="1"/>
  <c r="Q11" i="6"/>
  <c r="T65" i="1"/>
  <c r="S66" i="1" l="1"/>
  <c r="S78" i="1" s="1"/>
  <c r="AE46" i="12"/>
  <c r="AE63" i="12"/>
  <c r="AG40" i="6"/>
  <c r="AF65" i="12" s="1"/>
  <c r="AF45" i="12"/>
  <c r="AF54" i="12" s="1"/>
  <c r="AE65" i="12"/>
  <c r="AG43" i="12"/>
  <c r="AH43" i="12" s="1"/>
  <c r="AC66" i="12"/>
  <c r="AC78" i="12" s="1"/>
  <c r="BD54" i="12"/>
  <c r="BD63" i="12" s="1"/>
  <c r="AD46" i="12"/>
  <c r="AD54" i="12"/>
  <c r="AD63" i="12" s="1"/>
  <c r="AD65" i="12"/>
  <c r="Z36" i="6"/>
  <c r="Y41" i="6"/>
  <c r="T66" i="1"/>
  <c r="T78" i="1" s="1"/>
  <c r="AB40" i="6"/>
  <c r="Z65" i="12"/>
  <c r="Z66" i="12" s="1"/>
  <c r="Z78" i="12" s="1"/>
  <c r="AC28" i="6"/>
  <c r="Y80" i="12"/>
  <c r="Y82" i="12" s="1"/>
  <c r="Z32" i="6" s="1"/>
  <c r="Y33" i="6"/>
  <c r="I32" i="7"/>
  <c r="V43" i="1"/>
  <c r="U45" i="1"/>
  <c r="U76" i="1"/>
  <c r="V15" i="6"/>
  <c r="W15" i="6" s="1"/>
  <c r="X15" i="6" s="1"/>
  <c r="E33" i="7"/>
  <c r="B34" i="7"/>
  <c r="U56" i="1"/>
  <c r="T14" i="6"/>
  <c r="S19" i="6"/>
  <c r="U64" i="1"/>
  <c r="H31" i="7"/>
  <c r="X75" i="1"/>
  <c r="X76" i="1" s="1"/>
  <c r="R80" i="1"/>
  <c r="R82" i="1" s="1"/>
  <c r="S10" i="6" s="1"/>
  <c r="R11" i="6"/>
  <c r="AD6" i="6"/>
  <c r="BE6" i="6"/>
  <c r="AM13" i="6"/>
  <c r="V18" i="6"/>
  <c r="D37" i="7"/>
  <c r="A38" i="7"/>
  <c r="C32" i="7" l="1"/>
  <c r="F32" i="7"/>
  <c r="AE66" i="12"/>
  <c r="AE78" i="12" s="1"/>
  <c r="AF46" i="12"/>
  <c r="AG45" i="12"/>
  <c r="AG54" i="12" s="1"/>
  <c r="AH40" i="6"/>
  <c r="AI40" i="6" s="1"/>
  <c r="AG56" i="12"/>
  <c r="AD66" i="12"/>
  <c r="AD78" i="12" s="1"/>
  <c r="W18" i="6"/>
  <c r="AA36" i="6"/>
  <c r="Z41" i="6"/>
  <c r="AA65" i="12"/>
  <c r="AA66" i="12" s="1"/>
  <c r="AA78" i="12" s="1"/>
  <c r="AB65" i="12"/>
  <c r="D38" i="7"/>
  <c r="A39" i="7"/>
  <c r="AE6" i="6"/>
  <c r="AF63" i="12"/>
  <c r="AF66" i="12" s="1"/>
  <c r="AF78" i="12" s="1"/>
  <c r="U54" i="1"/>
  <c r="U46" i="1"/>
  <c r="AN13" i="6"/>
  <c r="S80" i="1"/>
  <c r="S82" i="1" s="1"/>
  <c r="T10" i="6" s="1"/>
  <c r="S11" i="6"/>
  <c r="U14" i="6"/>
  <c r="T19" i="6"/>
  <c r="AH45" i="12"/>
  <c r="AH56" i="12"/>
  <c r="AI43" i="12"/>
  <c r="V56" i="1"/>
  <c r="V45" i="1"/>
  <c r="Z80" i="12"/>
  <c r="Z82" i="12" s="1"/>
  <c r="AA32" i="6" s="1"/>
  <c r="Z33" i="6"/>
  <c r="I33" i="7"/>
  <c r="U65" i="1"/>
  <c r="Y15" i="6"/>
  <c r="B35" i="7"/>
  <c r="E34" i="7"/>
  <c r="F34" i="7"/>
  <c r="AA42" i="1" s="1"/>
  <c r="BE28" i="6"/>
  <c r="AD28" i="6"/>
  <c r="W43" i="1"/>
  <c r="X43" i="1" s="1"/>
  <c r="Y42" i="1" l="1"/>
  <c r="Y55" i="1" s="1"/>
  <c r="Y64" i="1" s="1"/>
  <c r="G32" i="7"/>
  <c r="AH65" i="12"/>
  <c r="AG63" i="12"/>
  <c r="AG46" i="12"/>
  <c r="V65" i="1"/>
  <c r="AG65" i="12"/>
  <c r="AJ40" i="6"/>
  <c r="AA41" i="6"/>
  <c r="AB36" i="6"/>
  <c r="BD65" i="12"/>
  <c r="BD66" i="12" s="1"/>
  <c r="BD78" i="12" s="1"/>
  <c r="BD82" i="12" s="1"/>
  <c r="BE80" i="12" s="1"/>
  <c r="AB66" i="12"/>
  <c r="AB78" i="12" s="1"/>
  <c r="X56" i="1"/>
  <c r="X45" i="1"/>
  <c r="AE28" i="6"/>
  <c r="E35" i="7"/>
  <c r="F35" i="7"/>
  <c r="AB42" i="1" s="1"/>
  <c r="B36" i="7"/>
  <c r="V54" i="1"/>
  <c r="V63" i="1" s="1"/>
  <c r="V46" i="1"/>
  <c r="AH46" i="12"/>
  <c r="AH54" i="12"/>
  <c r="AH63" i="12" s="1"/>
  <c r="T80" i="1"/>
  <c r="T82" i="1" s="1"/>
  <c r="U10" i="6" s="1"/>
  <c r="T11" i="6"/>
  <c r="U63" i="1"/>
  <c r="U66" i="1" s="1"/>
  <c r="U78" i="1" s="1"/>
  <c r="F33" i="7"/>
  <c r="W56" i="1"/>
  <c r="W45" i="1"/>
  <c r="Y43" i="1"/>
  <c r="I34" i="7"/>
  <c r="G34" i="7"/>
  <c r="AF6" i="6"/>
  <c r="AA55" i="1"/>
  <c r="AA64" i="1" s="1"/>
  <c r="AA80" i="12"/>
  <c r="AA82" i="12" s="1"/>
  <c r="AB32" i="6" s="1"/>
  <c r="AA33" i="6"/>
  <c r="AI45" i="12"/>
  <c r="AI56" i="12"/>
  <c r="AJ43" i="12"/>
  <c r="V14" i="6"/>
  <c r="U19" i="6"/>
  <c r="AO13" i="6"/>
  <c r="D39" i="7"/>
  <c r="A40" i="7"/>
  <c r="X18" i="6"/>
  <c r="Y18" i="6" s="1"/>
  <c r="Z18" i="6" l="1"/>
  <c r="Y75" i="1"/>
  <c r="H32" i="7"/>
  <c r="C33" i="7" s="1"/>
  <c r="AH66" i="12"/>
  <c r="AH78" i="12" s="1"/>
  <c r="V66" i="1"/>
  <c r="V78" i="1" s="1"/>
  <c r="AG66" i="12"/>
  <c r="AG78" i="12" s="1"/>
  <c r="AI65" i="12"/>
  <c r="AB41" i="6"/>
  <c r="AC36" i="6"/>
  <c r="W14" i="6"/>
  <c r="V19" i="6"/>
  <c r="AP13" i="6"/>
  <c r="AB80" i="12"/>
  <c r="AB82" i="12" s="1"/>
  <c r="AC32" i="6" s="1"/>
  <c r="AB33" i="6"/>
  <c r="AA75" i="1"/>
  <c r="AA76" i="1" s="1"/>
  <c r="W46" i="1"/>
  <c r="W54" i="1"/>
  <c r="W63" i="1" s="1"/>
  <c r="I35" i="7"/>
  <c r="G35" i="7"/>
  <c r="AJ56" i="12"/>
  <c r="AJ45" i="12"/>
  <c r="AK43" i="12"/>
  <c r="D40" i="7"/>
  <c r="A41" i="7"/>
  <c r="W65" i="1"/>
  <c r="AI54" i="12"/>
  <c r="AI46" i="12"/>
  <c r="AG6" i="6"/>
  <c r="Z42" i="1"/>
  <c r="BD42" i="1" s="1"/>
  <c r="G33" i="7"/>
  <c r="F36" i="7"/>
  <c r="AC42" i="1" s="1"/>
  <c r="B37" i="7"/>
  <c r="E36" i="7"/>
  <c r="AF28" i="6"/>
  <c r="X54" i="1"/>
  <c r="X63" i="1" s="1"/>
  <c r="X46" i="1"/>
  <c r="Y56" i="1"/>
  <c r="Y65" i="1" s="1"/>
  <c r="Y45" i="1"/>
  <c r="U80" i="1"/>
  <c r="U82" i="1" s="1"/>
  <c r="V10" i="6" s="1"/>
  <c r="U11" i="6"/>
  <c r="AB55" i="1"/>
  <c r="AB64" i="1" s="1"/>
  <c r="AK40" i="6"/>
  <c r="X65" i="1"/>
  <c r="Y76" i="1" l="1"/>
  <c r="Z15" i="6"/>
  <c r="AD36" i="6"/>
  <c r="BE36" i="6"/>
  <c r="BE41" i="6" s="1"/>
  <c r="AC41" i="6"/>
  <c r="W66" i="1"/>
  <c r="W78" i="1" s="1"/>
  <c r="V80" i="1"/>
  <c r="V82" i="1" s="1"/>
  <c r="W10" i="6" s="1"/>
  <c r="V11" i="6"/>
  <c r="X66" i="1"/>
  <c r="X78" i="1" s="1"/>
  <c r="B38" i="7"/>
  <c r="E37" i="7"/>
  <c r="BF13" i="6"/>
  <c r="AQ13" i="6"/>
  <c r="AC55" i="1"/>
  <c r="AH6" i="6"/>
  <c r="AJ54" i="12"/>
  <c r="AJ63" i="12" s="1"/>
  <c r="AJ46" i="12"/>
  <c r="A42" i="7"/>
  <c r="D41" i="7"/>
  <c r="AJ65" i="12"/>
  <c r="AG28" i="6"/>
  <c r="H33" i="7"/>
  <c r="C34" i="7" s="1"/>
  <c r="H34" i="7" s="1"/>
  <c r="C35" i="7" s="1"/>
  <c r="H35" i="7" s="1"/>
  <c r="C36" i="7" s="1"/>
  <c r="Z75" i="1"/>
  <c r="AL40" i="6"/>
  <c r="Y46" i="1"/>
  <c r="Y54" i="1"/>
  <c r="Y63" i="1" s="1"/>
  <c r="Y66" i="1" s="1"/>
  <c r="I36" i="7"/>
  <c r="G36" i="7"/>
  <c r="Z55" i="1"/>
  <c r="Z43" i="1"/>
  <c r="AI63" i="12"/>
  <c r="AI66" i="12" s="1"/>
  <c r="AI78" i="12" s="1"/>
  <c r="AB75" i="1"/>
  <c r="AB76" i="1" s="1"/>
  <c r="AC80" i="12"/>
  <c r="AC82" i="12" s="1"/>
  <c r="AD32" i="6" s="1"/>
  <c r="BE32" i="6"/>
  <c r="BE33" i="6" s="1"/>
  <c r="AC33" i="6"/>
  <c r="X14" i="6"/>
  <c r="W19" i="6"/>
  <c r="AK56" i="12"/>
  <c r="AK45" i="12"/>
  <c r="AL43" i="12"/>
  <c r="Y78" i="1" l="1"/>
  <c r="AK65" i="12"/>
  <c r="AE36" i="6"/>
  <c r="AD41" i="6"/>
  <c r="AL56" i="12"/>
  <c r="AL45" i="12"/>
  <c r="AM43" i="12"/>
  <c r="Y14" i="6"/>
  <c r="X19" i="6"/>
  <c r="AI6" i="6"/>
  <c r="AK46" i="12"/>
  <c r="AK54" i="12"/>
  <c r="AK63" i="12" s="1"/>
  <c r="H36" i="7"/>
  <c r="AC75" i="1"/>
  <c r="I37" i="7"/>
  <c r="Z56" i="1"/>
  <c r="AA18" i="6"/>
  <c r="AH28" i="6"/>
  <c r="AM40" i="6"/>
  <c r="AN40" i="6" s="1"/>
  <c r="B39" i="7"/>
  <c r="E38" i="7"/>
  <c r="F38" i="7"/>
  <c r="AE42" i="1" s="1"/>
  <c r="AD80" i="12"/>
  <c r="AD82" i="12" s="1"/>
  <c r="AE32" i="6" s="1"/>
  <c r="AD33" i="6"/>
  <c r="Z45" i="1"/>
  <c r="Z76" i="1"/>
  <c r="BD75" i="1"/>
  <c r="AA15" i="6"/>
  <c r="AB15" i="6" s="1"/>
  <c r="AC15" i="6" s="1"/>
  <c r="A43" i="7"/>
  <c r="D42" i="7"/>
  <c r="AJ66" i="12"/>
  <c r="AJ78" i="12" s="1"/>
  <c r="AR13" i="6"/>
  <c r="AA43" i="1"/>
  <c r="Z64" i="1"/>
  <c r="BD64" i="1" s="1"/>
  <c r="BD55" i="1"/>
  <c r="AC64" i="1"/>
  <c r="W80" i="1"/>
  <c r="W82" i="1" s="1"/>
  <c r="X10" i="6" s="1"/>
  <c r="W11" i="6"/>
  <c r="AK66" i="12" l="1"/>
  <c r="AK78" i="12" s="1"/>
  <c r="Z65" i="1"/>
  <c r="AF36" i="6"/>
  <c r="AE41" i="6"/>
  <c r="AA56" i="1"/>
  <c r="AA45" i="1"/>
  <c r="A44" i="7"/>
  <c r="D43" i="7"/>
  <c r="BD76" i="1"/>
  <c r="I38" i="7"/>
  <c r="G38" i="7"/>
  <c r="C37" i="7"/>
  <c r="F37" i="7"/>
  <c r="Z14" i="6"/>
  <c r="Y19" i="6"/>
  <c r="E39" i="7"/>
  <c r="B40" i="7"/>
  <c r="F39" i="7"/>
  <c r="AF42" i="1" s="1"/>
  <c r="AI28" i="6"/>
  <c r="AJ6" i="6"/>
  <c r="AM56" i="12"/>
  <c r="AM65" i="12" s="1"/>
  <c r="AM45" i="12"/>
  <c r="AN43" i="12"/>
  <c r="AO40" i="6" s="1"/>
  <c r="X80" i="1"/>
  <c r="X82" i="1" s="1"/>
  <c r="Y10" i="6" s="1"/>
  <c r="X11" i="6"/>
  <c r="AS13" i="6"/>
  <c r="AE80" i="12"/>
  <c r="AE82" i="12" s="1"/>
  <c r="AF32" i="6" s="1"/>
  <c r="AE33" i="6"/>
  <c r="AB43" i="1"/>
  <c r="AC43" i="1" s="1"/>
  <c r="AL46" i="12"/>
  <c r="AL54" i="12"/>
  <c r="AL63" i="12" s="1"/>
  <c r="BE15" i="6"/>
  <c r="AD15" i="6"/>
  <c r="Z54" i="1"/>
  <c r="Z63" i="1" s="1"/>
  <c r="Z66" i="1" s="1"/>
  <c r="Z78" i="1" s="1"/>
  <c r="Z46" i="1"/>
  <c r="AE55" i="1"/>
  <c r="AE64" i="1" s="1"/>
  <c r="AB18" i="6"/>
  <c r="AC76" i="1"/>
  <c r="AL65" i="12"/>
  <c r="AG36" i="6" l="1"/>
  <c r="AF41" i="6"/>
  <c r="AD18" i="6"/>
  <c r="AC56" i="1"/>
  <c r="AC45" i="1"/>
  <c r="AT13" i="6"/>
  <c r="AM54" i="12"/>
  <c r="AM63" i="12" s="1"/>
  <c r="AM66" i="12" s="1"/>
  <c r="AM78" i="12" s="1"/>
  <c r="AM46" i="12"/>
  <c r="B41" i="7"/>
  <c r="E40" i="7"/>
  <c r="F40" i="7"/>
  <c r="AG42" i="1" s="1"/>
  <c r="AE75" i="1"/>
  <c r="AE76" i="1" s="1"/>
  <c r="AL66" i="12"/>
  <c r="AL78" i="12" s="1"/>
  <c r="G39" i="7"/>
  <c r="I39" i="7"/>
  <c r="AA14" i="6"/>
  <c r="Z19" i="6"/>
  <c r="D44" i="7"/>
  <c r="A45" i="7"/>
  <c r="AF80" i="12"/>
  <c r="AF82" i="12" s="1"/>
  <c r="AG32" i="6" s="1"/>
  <c r="AF33" i="6"/>
  <c r="Y80" i="1"/>
  <c r="Y82" i="1" s="1"/>
  <c r="Z10" i="6" s="1"/>
  <c r="Y11" i="6"/>
  <c r="AK6" i="6"/>
  <c r="AJ28" i="6"/>
  <c r="AD42" i="1"/>
  <c r="G37" i="7"/>
  <c r="AA46" i="1"/>
  <c r="AA54" i="1"/>
  <c r="AA63" i="1" s="1"/>
  <c r="AB56" i="1"/>
  <c r="BD43" i="1"/>
  <c r="AB45" i="1"/>
  <c r="AN56" i="12"/>
  <c r="AN65" i="12" s="1"/>
  <c r="AN45" i="12"/>
  <c r="AO43" i="12"/>
  <c r="AF55" i="1"/>
  <c r="AF64" i="1" s="1"/>
  <c r="AA65" i="1"/>
  <c r="AH36" i="6" l="1"/>
  <c r="AG41" i="6"/>
  <c r="AD55" i="1"/>
  <c r="AD43" i="1"/>
  <c r="AE18" i="6" s="1"/>
  <c r="AB54" i="1"/>
  <c r="AB46" i="1"/>
  <c r="AA66" i="1"/>
  <c r="AA78" i="1" s="1"/>
  <c r="AF75" i="1"/>
  <c r="AF76" i="1" s="1"/>
  <c r="AG55" i="1"/>
  <c r="AG64" i="1" s="1"/>
  <c r="AC54" i="1"/>
  <c r="AC46" i="1"/>
  <c r="AO45" i="12"/>
  <c r="AO56" i="12"/>
  <c r="AP43" i="12"/>
  <c r="BE43" i="12"/>
  <c r="BD45" i="1"/>
  <c r="BD46" i="1" s="1"/>
  <c r="AL6" i="6"/>
  <c r="AG80" i="12"/>
  <c r="AG82" i="12" s="1"/>
  <c r="AH32" i="6" s="1"/>
  <c r="AG33" i="6"/>
  <c r="G40" i="7"/>
  <c r="I40" i="7"/>
  <c r="AN54" i="12"/>
  <c r="AN63" i="12" s="1"/>
  <c r="AN66" i="12" s="1"/>
  <c r="AN78" i="12" s="1"/>
  <c r="AN46" i="12"/>
  <c r="AB65" i="1"/>
  <c r="BD65" i="1" s="1"/>
  <c r="BD56" i="1"/>
  <c r="AD75" i="1"/>
  <c r="H37" i="7"/>
  <c r="C38" i="7" s="1"/>
  <c r="H38" i="7" s="1"/>
  <c r="C39" i="7" s="1"/>
  <c r="H39" i="7" s="1"/>
  <c r="C40" i="7" s="1"/>
  <c r="AB14" i="6"/>
  <c r="AA19" i="6"/>
  <c r="E41" i="7"/>
  <c r="B42" i="7"/>
  <c r="AU13" i="6"/>
  <c r="AC65" i="1"/>
  <c r="AK28" i="6"/>
  <c r="Z80" i="1"/>
  <c r="Z82" i="1" s="1"/>
  <c r="AA10" i="6" s="1"/>
  <c r="Z11" i="6"/>
  <c r="A46" i="7"/>
  <c r="D45" i="7"/>
  <c r="AP40" i="6"/>
  <c r="AH41" i="6" l="1"/>
  <c r="AI36" i="6"/>
  <c r="AD76" i="1"/>
  <c r="AE15" i="6"/>
  <c r="AF15" i="6" s="1"/>
  <c r="AG15" i="6" s="1"/>
  <c r="D46" i="7"/>
  <c r="A47" i="7"/>
  <c r="AL28" i="6"/>
  <c r="AV13" i="6"/>
  <c r="C92" i="14"/>
  <c r="G92" i="14"/>
  <c r="K92" i="14"/>
  <c r="AO65" i="12"/>
  <c r="BE65" i="12" s="1"/>
  <c r="BE56" i="12"/>
  <c r="AH80" i="12"/>
  <c r="AH82" i="12" s="1"/>
  <c r="AI32" i="6" s="1"/>
  <c r="AH33" i="6"/>
  <c r="AO46" i="12"/>
  <c r="AO54" i="12"/>
  <c r="AD56" i="1"/>
  <c r="AC14" i="6"/>
  <c r="AB19" i="6"/>
  <c r="BF40" i="6"/>
  <c r="AQ40" i="6"/>
  <c r="AA80" i="1"/>
  <c r="AA82" i="1" s="1"/>
  <c r="AB10" i="6" s="1"/>
  <c r="AA11" i="6"/>
  <c r="E42" i="7"/>
  <c r="B43" i="7"/>
  <c r="H40" i="7"/>
  <c r="AG75" i="1"/>
  <c r="AG76" i="1" s="1"/>
  <c r="BE45" i="12"/>
  <c r="BE46" i="12" s="1"/>
  <c r="AB63" i="1"/>
  <c r="AB66" i="1" s="1"/>
  <c r="AB78" i="1" s="1"/>
  <c r="BD54" i="1"/>
  <c r="AD45" i="1"/>
  <c r="I41" i="7"/>
  <c r="AM6" i="6"/>
  <c r="AP45" i="12"/>
  <c r="AP56" i="12"/>
  <c r="AQ43" i="12"/>
  <c r="AC63" i="1"/>
  <c r="AC66" i="1" s="1"/>
  <c r="AC78" i="1" s="1"/>
  <c r="AE43" i="1"/>
  <c r="AD64" i="1"/>
  <c r="AJ36" i="6" l="1"/>
  <c r="AI41" i="6"/>
  <c r="AQ56" i="12"/>
  <c r="AQ45" i="12"/>
  <c r="AR43" i="12"/>
  <c r="AR40" i="6"/>
  <c r="AB80" i="1"/>
  <c r="AB82" i="1" s="1"/>
  <c r="AC10" i="6" s="1"/>
  <c r="AB11" i="6"/>
  <c r="M92" i="14"/>
  <c r="N92" i="14" s="1"/>
  <c r="AW13" i="6"/>
  <c r="AN6" i="6"/>
  <c r="C41" i="7"/>
  <c r="F41" i="7"/>
  <c r="AD65" i="1"/>
  <c r="AI80" i="12"/>
  <c r="AI82" i="12" s="1"/>
  <c r="AJ32" i="6" s="1"/>
  <c r="AI33" i="6"/>
  <c r="I92" i="14"/>
  <c r="J92" i="14" s="1"/>
  <c r="AH15" i="6"/>
  <c r="AD46" i="1"/>
  <c r="AD54" i="1"/>
  <c r="BD63" i="1"/>
  <c r="BD66" i="1" s="1"/>
  <c r="BD78" i="1" s="1"/>
  <c r="BD82" i="1" s="1"/>
  <c r="BE80" i="1" s="1"/>
  <c r="F43" i="7"/>
  <c r="AJ42" i="1" s="1"/>
  <c r="E43" i="7"/>
  <c r="B44" i="7"/>
  <c r="AO63" i="12"/>
  <c r="AO66" i="12" s="1"/>
  <c r="AO78" i="12" s="1"/>
  <c r="BE54" i="12"/>
  <c r="E92" i="14"/>
  <c r="AM28" i="6"/>
  <c r="AE56" i="1"/>
  <c r="AE45" i="1"/>
  <c r="AF43" i="1"/>
  <c r="AG43" i="1" s="1"/>
  <c r="AP65" i="12"/>
  <c r="AP54" i="12"/>
  <c r="AP46" i="12"/>
  <c r="I42" i="7"/>
  <c r="AD14" i="6"/>
  <c r="BE14" i="6"/>
  <c r="BE19" i="6" s="1"/>
  <c r="AC19" i="6"/>
  <c r="AF18" i="6"/>
  <c r="D47" i="7"/>
  <c r="A48" i="7"/>
  <c r="AG18" i="6" l="1"/>
  <c r="AH18" i="6" s="1"/>
  <c r="AK36" i="6"/>
  <c r="AJ41" i="6"/>
  <c r="AS40" i="6"/>
  <c r="AN28" i="6"/>
  <c r="AR56" i="12"/>
  <c r="AR45" i="12"/>
  <c r="AS43" i="12"/>
  <c r="AE46" i="1"/>
  <c r="AE54" i="1"/>
  <c r="AE63" i="1" s="1"/>
  <c r="G43" i="7"/>
  <c r="I43" i="7"/>
  <c r="D48" i="7"/>
  <c r="A49" i="7"/>
  <c r="AC80" i="1"/>
  <c r="AC82" i="1" s="1"/>
  <c r="AD10" i="6" s="1"/>
  <c r="BE10" i="6"/>
  <c r="BE11" i="6" s="1"/>
  <c r="AC11" i="6"/>
  <c r="AE65" i="1"/>
  <c r="BE63" i="12"/>
  <c r="BE66" i="12" s="1"/>
  <c r="BE78" i="12" s="1"/>
  <c r="BE82" i="12" s="1"/>
  <c r="BF80" i="12" s="1"/>
  <c r="AJ55" i="1"/>
  <c r="AJ64" i="1" s="1"/>
  <c r="AD63" i="1"/>
  <c r="AD66" i="1" s="1"/>
  <c r="AD78" i="1" s="1"/>
  <c r="AH42" i="1"/>
  <c r="G41" i="7"/>
  <c r="AQ54" i="12"/>
  <c r="AQ63" i="12" s="1"/>
  <c r="AQ46" i="12"/>
  <c r="AE14" i="6"/>
  <c r="AD19" i="6"/>
  <c r="AF56" i="1"/>
  <c r="AF45" i="1"/>
  <c r="F92" i="14"/>
  <c r="AJ80" i="12"/>
  <c r="AJ82" i="12" s="1"/>
  <c r="AK32" i="6" s="1"/>
  <c r="AJ33" i="6"/>
  <c r="AX13" i="6"/>
  <c r="AQ65" i="12"/>
  <c r="AP63" i="12"/>
  <c r="AP66" i="12" s="1"/>
  <c r="AP78" i="12" s="1"/>
  <c r="AG56" i="1"/>
  <c r="AG45" i="1"/>
  <c r="E44" i="7"/>
  <c r="F44" i="7"/>
  <c r="AK42" i="1" s="1"/>
  <c r="B45" i="7"/>
  <c r="AO6" i="6"/>
  <c r="AF65" i="1" l="1"/>
  <c r="AG65" i="1"/>
  <c r="AL36" i="6"/>
  <c r="AK41" i="6"/>
  <c r="AK80" i="12"/>
  <c r="AK82" i="12" s="1"/>
  <c r="AL32" i="6" s="1"/>
  <c r="AK33" i="6"/>
  <c r="AH55" i="1"/>
  <c r="AH43" i="1"/>
  <c r="AS45" i="12"/>
  <c r="AS56" i="12"/>
  <c r="AT43" i="12"/>
  <c r="H43" i="14" s="1"/>
  <c r="B46" i="7"/>
  <c r="E45" i="7"/>
  <c r="AP6" i="6"/>
  <c r="AK55" i="1"/>
  <c r="AK64" i="1" s="1"/>
  <c r="AD80" i="1"/>
  <c r="AD82" i="1" s="1"/>
  <c r="AE10" i="6" s="1"/>
  <c r="AD11" i="6"/>
  <c r="AJ75" i="1"/>
  <c r="AJ76" i="1" s="1"/>
  <c r="AR54" i="12"/>
  <c r="AR46" i="12"/>
  <c r="AF14" i="6"/>
  <c r="AE19" i="6"/>
  <c r="I44" i="7"/>
  <c r="G44" i="7"/>
  <c r="AY13" i="6"/>
  <c r="AQ66" i="12"/>
  <c r="AQ78" i="12" s="1"/>
  <c r="A50" i="7"/>
  <c r="D49" i="7"/>
  <c r="AE66" i="1"/>
  <c r="AE78" i="1" s="1"/>
  <c r="AR65" i="12"/>
  <c r="AG46" i="1"/>
  <c r="AG54" i="1"/>
  <c r="AG63" i="1" s="1"/>
  <c r="AF46" i="1"/>
  <c r="AF54" i="1"/>
  <c r="H41" i="7"/>
  <c r="AH75" i="1"/>
  <c r="AT40" i="6"/>
  <c r="AO28" i="6"/>
  <c r="C42" i="7" l="1"/>
  <c r="F42" i="7"/>
  <c r="AU40" i="6"/>
  <c r="D97" i="14" s="1"/>
  <c r="AG66" i="1"/>
  <c r="AG78" i="1" s="1"/>
  <c r="AM36" i="6"/>
  <c r="AL41" i="6"/>
  <c r="AG14" i="6"/>
  <c r="AF19" i="6"/>
  <c r="AH76" i="1"/>
  <c r="AI15" i="6"/>
  <c r="AZ13" i="6"/>
  <c r="AQ6" i="6"/>
  <c r="BF6" i="6"/>
  <c r="B47" i="7"/>
  <c r="E46" i="7"/>
  <c r="AS65" i="12"/>
  <c r="H53" i="14"/>
  <c r="H45" i="14"/>
  <c r="H51" i="14" s="1"/>
  <c r="AS46" i="12"/>
  <c r="AS54" i="12"/>
  <c r="AS63" i="12" s="1"/>
  <c r="AH56" i="1"/>
  <c r="AI18" i="6"/>
  <c r="AL80" i="12"/>
  <c r="AL82" i="12" s="1"/>
  <c r="AM32" i="6" s="1"/>
  <c r="AL33" i="6"/>
  <c r="AF63" i="1"/>
  <c r="AF66" i="1" s="1"/>
  <c r="AF78" i="1" s="1"/>
  <c r="AK75" i="1"/>
  <c r="AK76" i="1" s="1"/>
  <c r="I45" i="7"/>
  <c r="AH45" i="1"/>
  <c r="AP28" i="6"/>
  <c r="AE80" i="1"/>
  <c r="AE82" i="1" s="1"/>
  <c r="AF10" i="6" s="1"/>
  <c r="AE11" i="6"/>
  <c r="A51" i="7"/>
  <c r="D50" i="7"/>
  <c r="AR63" i="12"/>
  <c r="AR66" i="12" s="1"/>
  <c r="AR78" i="12" s="1"/>
  <c r="AT56" i="12"/>
  <c r="AT45" i="12"/>
  <c r="AU43" i="12"/>
  <c r="D43" i="14"/>
  <c r="L43" i="14"/>
  <c r="AH64" i="1"/>
  <c r="L97" i="14" l="1"/>
  <c r="H97" i="14"/>
  <c r="AI42" i="1"/>
  <c r="G42" i="7"/>
  <c r="AI75" i="1" s="1"/>
  <c r="AI76" i="1" s="1"/>
  <c r="AS66" i="12"/>
  <c r="AS78" i="12" s="1"/>
  <c r="AM41" i="6"/>
  <c r="AN36" i="6"/>
  <c r="AF80" i="1"/>
  <c r="AF82" i="1" s="1"/>
  <c r="AG10" i="6" s="1"/>
  <c r="AF11" i="6"/>
  <c r="AU45" i="12"/>
  <c r="AU56" i="12"/>
  <c r="AV43" i="12"/>
  <c r="AM80" i="12"/>
  <c r="AM82" i="12" s="1"/>
  <c r="AN32" i="6" s="1"/>
  <c r="AM33" i="6"/>
  <c r="B48" i="7"/>
  <c r="E47" i="7"/>
  <c r="F47" i="7"/>
  <c r="AN42" i="1" s="1"/>
  <c r="BA13" i="6"/>
  <c r="AH14" i="6"/>
  <c r="AG19" i="6"/>
  <c r="AT54" i="12"/>
  <c r="AT46" i="12"/>
  <c r="A52" i="7"/>
  <c r="D51" i="7"/>
  <c r="AQ28" i="6"/>
  <c r="BF28" i="6"/>
  <c r="AV40" i="6"/>
  <c r="H60" i="14"/>
  <c r="L53" i="14"/>
  <c r="L45" i="14"/>
  <c r="L51" i="14" s="1"/>
  <c r="AT65" i="12"/>
  <c r="AH46" i="1"/>
  <c r="AH54" i="1"/>
  <c r="AH65" i="1"/>
  <c r="D53" i="14"/>
  <c r="D45" i="14"/>
  <c r="D51" i="14" s="1"/>
  <c r="I46" i="7"/>
  <c r="AR6" i="6"/>
  <c r="H42" i="7" l="1"/>
  <c r="C43" i="7" s="1"/>
  <c r="H43" i="7" s="1"/>
  <c r="C44" i="7" s="1"/>
  <c r="H44" i="7" s="1"/>
  <c r="AI55" i="1"/>
  <c r="AI64" i="1" s="1"/>
  <c r="AI43" i="1"/>
  <c r="AJ15" i="6"/>
  <c r="AK15" i="6" s="1"/>
  <c r="AL15" i="6" s="1"/>
  <c r="AO36" i="6"/>
  <c r="AN41" i="6"/>
  <c r="AW40" i="6"/>
  <c r="AH63" i="1"/>
  <c r="AH66" i="1" s="1"/>
  <c r="AH78" i="1" s="1"/>
  <c r="L60" i="14"/>
  <c r="AR28" i="6"/>
  <c r="AT63" i="12"/>
  <c r="AT66" i="12" s="1"/>
  <c r="AT78" i="12" s="1"/>
  <c r="I47" i="7"/>
  <c r="G47" i="7"/>
  <c r="AU65" i="12"/>
  <c r="D60" i="14"/>
  <c r="F46" i="7"/>
  <c r="B49" i="7"/>
  <c r="F48" i="7"/>
  <c r="AO42" i="1" s="1"/>
  <c r="E48" i="7"/>
  <c r="AN80" i="12"/>
  <c r="AN82" i="12" s="1"/>
  <c r="AO32" i="6" s="1"/>
  <c r="AN33" i="6"/>
  <c r="AU46" i="12"/>
  <c r="AU54" i="12"/>
  <c r="AU63" i="12" s="1"/>
  <c r="A53" i="7"/>
  <c r="D52" i="7"/>
  <c r="BB13" i="6"/>
  <c r="AS6" i="6"/>
  <c r="D62" i="14"/>
  <c r="L62" i="14"/>
  <c r="H62" i="14"/>
  <c r="H63" i="14" s="1"/>
  <c r="H75" i="14" s="1"/>
  <c r="AG80" i="1"/>
  <c r="AG82" i="1" s="1"/>
  <c r="AH10" i="6" s="1"/>
  <c r="AG11" i="6"/>
  <c r="AI14" i="6"/>
  <c r="AH19" i="6"/>
  <c r="AN55" i="1"/>
  <c r="AN64" i="1" s="1"/>
  <c r="AV56" i="12"/>
  <c r="AV45" i="12"/>
  <c r="AW43" i="12"/>
  <c r="C45" i="7" l="1"/>
  <c r="F45" i="7"/>
  <c r="AU66" i="12"/>
  <c r="AU78" i="12" s="1"/>
  <c r="AI56" i="1"/>
  <c r="AJ18" i="6"/>
  <c r="AJ43" i="1"/>
  <c r="AI45" i="1"/>
  <c r="AP36" i="6"/>
  <c r="AO41" i="6"/>
  <c r="AI19" i="6"/>
  <c r="BC13" i="6"/>
  <c r="AO80" i="12"/>
  <c r="AO82" i="12" s="1"/>
  <c r="AP32" i="6" s="1"/>
  <c r="AO33" i="6"/>
  <c r="L63" i="14"/>
  <c r="L75" i="14" s="1"/>
  <c r="L79" i="14" s="1"/>
  <c r="L88" i="14" s="1"/>
  <c r="D53" i="7"/>
  <c r="A54" i="7"/>
  <c r="I48" i="7"/>
  <c r="G48" i="7"/>
  <c r="D63" i="14"/>
  <c r="D75" i="14" s="1"/>
  <c r="AW45" i="12"/>
  <c r="AW56" i="12"/>
  <c r="AX43" i="12"/>
  <c r="AH80" i="1"/>
  <c r="AH82" i="1" s="1"/>
  <c r="AI10" i="6" s="1"/>
  <c r="AH11" i="6"/>
  <c r="AT6" i="6"/>
  <c r="AX40" i="6"/>
  <c r="AO55" i="1"/>
  <c r="AO64" i="1" s="1"/>
  <c r="AM42" i="1"/>
  <c r="G46" i="7"/>
  <c r="AS28" i="6"/>
  <c r="AV54" i="12"/>
  <c r="AV63" i="12" s="1"/>
  <c r="AV46" i="12"/>
  <c r="AV65" i="12"/>
  <c r="B50" i="7"/>
  <c r="F49" i="7"/>
  <c r="AP42" i="1" s="1"/>
  <c r="E49" i="7"/>
  <c r="AN75" i="1"/>
  <c r="AN76" i="1" s="1"/>
  <c r="AL42" i="1" l="1"/>
  <c r="AL55" i="1" s="1"/>
  <c r="AL64" i="1" s="1"/>
  <c r="G45" i="7"/>
  <c r="AL75" i="1" s="1"/>
  <c r="AI46" i="1"/>
  <c r="AI54" i="1"/>
  <c r="AI63" i="1" s="1"/>
  <c r="AK43" i="1"/>
  <c r="AJ45" i="1"/>
  <c r="AJ56" i="1"/>
  <c r="AI65" i="1"/>
  <c r="AK18" i="6"/>
  <c r="AJ14" i="6"/>
  <c r="AJ19" i="6" s="1"/>
  <c r="AY40" i="6"/>
  <c r="AP41" i="6"/>
  <c r="BF36" i="6"/>
  <c r="BF41" i="6" s="1"/>
  <c r="AQ36" i="6"/>
  <c r="AV66" i="12"/>
  <c r="AV78" i="12" s="1"/>
  <c r="E50" i="7"/>
  <c r="B51" i="7"/>
  <c r="AI80" i="1"/>
  <c r="AI11" i="6"/>
  <c r="AM55" i="1"/>
  <c r="AW46" i="12"/>
  <c r="AW54" i="12"/>
  <c r="AW63" i="12" s="1"/>
  <c r="AO75" i="1"/>
  <c r="I49" i="7"/>
  <c r="G49" i="7"/>
  <c r="AP80" i="12"/>
  <c r="BF32" i="6"/>
  <c r="BF33" i="6" s="1"/>
  <c r="AP33" i="6"/>
  <c r="AU6" i="6"/>
  <c r="AX45" i="12"/>
  <c r="AX56" i="12"/>
  <c r="AY43" i="12"/>
  <c r="AT28" i="6"/>
  <c r="AP55" i="1"/>
  <c r="AM75" i="1"/>
  <c r="AW65" i="12"/>
  <c r="A55" i="7"/>
  <c r="D54" i="7"/>
  <c r="BG13" i="6"/>
  <c r="BE42" i="1" l="1"/>
  <c r="H45" i="7"/>
  <c r="C46" i="7" s="1"/>
  <c r="H46" i="7" s="1"/>
  <c r="C47" i="7" s="1"/>
  <c r="H47" i="7" s="1"/>
  <c r="C48" i="7" s="1"/>
  <c r="H48" i="7" s="1"/>
  <c r="C49" i="7" s="1"/>
  <c r="AL76" i="1"/>
  <c r="AM15" i="6"/>
  <c r="AN15" i="6" s="1"/>
  <c r="AO15" i="6" s="1"/>
  <c r="AP15" i="6" s="1"/>
  <c r="AL18" i="6"/>
  <c r="AK14" i="6"/>
  <c r="AK19" i="6" s="1"/>
  <c r="AK56" i="1"/>
  <c r="AK45" i="1"/>
  <c r="AJ46" i="1"/>
  <c r="AJ54" i="1"/>
  <c r="AJ63" i="1" s="1"/>
  <c r="AJ65" i="1"/>
  <c r="AI66" i="1"/>
  <c r="AI78" i="1" s="1"/>
  <c r="AI82" i="1" s="1"/>
  <c r="AJ10" i="6" s="1"/>
  <c r="AL43" i="1"/>
  <c r="AM18" i="6" s="1"/>
  <c r="AR36" i="6"/>
  <c r="AQ41" i="6"/>
  <c r="AM76" i="1"/>
  <c r="A56" i="7"/>
  <c r="D55" i="7"/>
  <c r="AU28" i="6"/>
  <c r="AX65" i="12"/>
  <c r="BH13" i="6"/>
  <c r="AP64" i="1"/>
  <c r="AX54" i="12"/>
  <c r="AX63" i="12" s="1"/>
  <c r="AX46" i="12"/>
  <c r="B52" i="7"/>
  <c r="F51" i="7"/>
  <c r="AR42" i="1" s="1"/>
  <c r="E51" i="7"/>
  <c r="AV6" i="6"/>
  <c r="G84" i="14"/>
  <c r="K84" i="14"/>
  <c r="C84" i="14"/>
  <c r="AO76" i="1"/>
  <c r="BE75" i="1"/>
  <c r="AM64" i="1"/>
  <c r="BE64" i="1" s="1"/>
  <c r="BE55" i="1"/>
  <c r="AY56" i="12"/>
  <c r="AY45" i="12"/>
  <c r="AZ43" i="12"/>
  <c r="H77" i="14"/>
  <c r="AP82" i="12"/>
  <c r="AQ32" i="6" s="1"/>
  <c r="AP75" i="1"/>
  <c r="H49" i="7"/>
  <c r="I50" i="7"/>
  <c r="AZ40" i="6"/>
  <c r="AW66" i="12"/>
  <c r="AW78" i="12" s="1"/>
  <c r="AL14" i="6" l="1"/>
  <c r="AL19" i="6" s="1"/>
  <c r="AK65" i="1"/>
  <c r="AJ80" i="1"/>
  <c r="AJ11" i="6"/>
  <c r="AL56" i="1"/>
  <c r="AL65" i="1" s="1"/>
  <c r="AL45" i="1"/>
  <c r="AM43" i="1"/>
  <c r="AN18" i="6" s="1"/>
  <c r="AJ66" i="1"/>
  <c r="AJ78" i="1" s="1"/>
  <c r="AK54" i="1"/>
  <c r="AK63" i="1" s="1"/>
  <c r="AK46" i="1"/>
  <c r="AN43" i="1"/>
  <c r="AN45" i="1" s="1"/>
  <c r="AN54" i="1" s="1"/>
  <c r="AX66" i="12"/>
  <c r="AX78" i="12" s="1"/>
  <c r="AR41" i="6"/>
  <c r="AS36" i="6"/>
  <c r="BA40" i="6"/>
  <c r="AY46" i="12"/>
  <c r="AY54" i="12"/>
  <c r="AY63" i="12" s="1"/>
  <c r="BE76" i="1"/>
  <c r="AQ15" i="6"/>
  <c r="BF15" i="6"/>
  <c r="C50" i="7"/>
  <c r="F50" i="7"/>
  <c r="AQ80" i="12"/>
  <c r="AQ82" i="12" s="1"/>
  <c r="AR32" i="6" s="1"/>
  <c r="AQ33" i="6"/>
  <c r="AY65" i="12"/>
  <c r="AW6" i="6"/>
  <c r="G51" i="7"/>
  <c r="I51" i="7"/>
  <c r="AV28" i="6"/>
  <c r="L84" i="14"/>
  <c r="H84" i="14"/>
  <c r="D84" i="14"/>
  <c r="AP76" i="1"/>
  <c r="H79" i="14"/>
  <c r="H88" i="14" s="1"/>
  <c r="AR55" i="1"/>
  <c r="AR64" i="1" s="1"/>
  <c r="AZ45" i="12"/>
  <c r="AZ56" i="12"/>
  <c r="BA43" i="12"/>
  <c r="B53" i="7"/>
  <c r="F52" i="7"/>
  <c r="AS42" i="1" s="1"/>
  <c r="E52" i="7"/>
  <c r="A57" i="7"/>
  <c r="D56" i="7"/>
  <c r="AM14" i="6" l="1"/>
  <c r="AK66" i="1"/>
  <c r="AK78" i="1" s="1"/>
  <c r="AN46" i="1"/>
  <c r="AN56" i="1"/>
  <c r="AN63" i="1" s="1"/>
  <c r="AO18" i="6"/>
  <c r="AO43" i="1"/>
  <c r="AM45" i="1"/>
  <c r="AM56" i="1"/>
  <c r="AM65" i="1" s="1"/>
  <c r="AL46" i="1"/>
  <c r="AL54" i="1"/>
  <c r="AL63" i="1" s="1"/>
  <c r="AL66" i="1" s="1"/>
  <c r="AL78" i="1" s="1"/>
  <c r="AJ82" i="1"/>
  <c r="AK10" i="6" s="1"/>
  <c r="AT36" i="6"/>
  <c r="AS41" i="6"/>
  <c r="AZ65" i="12"/>
  <c r="F53" i="7"/>
  <c r="AT42" i="1" s="1"/>
  <c r="B54" i="7"/>
  <c r="E53" i="7"/>
  <c r="E84" i="14"/>
  <c r="AW28" i="6"/>
  <c r="AR80" i="12"/>
  <c r="AR82" i="12" s="1"/>
  <c r="AS32" i="6" s="1"/>
  <c r="AR33" i="6"/>
  <c r="AY66" i="12"/>
  <c r="AY78" i="12" s="1"/>
  <c r="A58" i="7"/>
  <c r="D57" i="7"/>
  <c r="I84" i="14"/>
  <c r="H89" i="14"/>
  <c r="AX6" i="6"/>
  <c r="AQ42" i="1"/>
  <c r="G50" i="7"/>
  <c r="BA56" i="12"/>
  <c r="BA45" i="12"/>
  <c r="BB43" i="12"/>
  <c r="I52" i="7"/>
  <c r="G52" i="7"/>
  <c r="AZ54" i="12"/>
  <c r="AZ63" i="12" s="1"/>
  <c r="AZ46" i="12"/>
  <c r="M84" i="14"/>
  <c r="L89" i="14"/>
  <c r="AS55" i="1"/>
  <c r="AS64" i="1" s="1"/>
  <c r="AR75" i="1"/>
  <c r="AR76" i="1" s="1"/>
  <c r="AM19" i="6"/>
  <c r="BB40" i="6"/>
  <c r="AN14" i="6" l="1"/>
  <c r="AO14" i="6" s="1"/>
  <c r="AN65" i="1"/>
  <c r="AN66" i="1" s="1"/>
  <c r="AN78" i="1" s="1"/>
  <c r="AP18" i="6"/>
  <c r="BF18" i="6" s="1"/>
  <c r="AO45" i="1"/>
  <c r="AO54" i="1" s="1"/>
  <c r="AP43" i="1"/>
  <c r="AP56" i="1" s="1"/>
  <c r="AK80" i="1"/>
  <c r="AK82" i="1" s="1"/>
  <c r="AL10" i="6" s="1"/>
  <c r="AK11" i="6"/>
  <c r="BE43" i="1"/>
  <c r="BE45" i="1" s="1"/>
  <c r="BE46" i="1" s="1"/>
  <c r="AO56" i="1"/>
  <c r="BE56" i="1" s="1"/>
  <c r="AM46" i="1"/>
  <c r="AM54" i="1"/>
  <c r="AM63" i="1" s="1"/>
  <c r="AM66" i="1" s="1"/>
  <c r="AM78" i="1" s="1"/>
  <c r="AO46" i="1"/>
  <c r="AZ66" i="12"/>
  <c r="AZ78" i="12" s="1"/>
  <c r="AU36" i="6"/>
  <c r="AT41" i="6"/>
  <c r="AY6" i="6"/>
  <c r="AS80" i="12"/>
  <c r="AS82" i="12" s="1"/>
  <c r="AT32" i="6" s="1"/>
  <c r="AS33" i="6"/>
  <c r="F84" i="14"/>
  <c r="AS75" i="1"/>
  <c r="AS76" i="1" s="1"/>
  <c r="BB45" i="12"/>
  <c r="BB56" i="12"/>
  <c r="BF43" i="12"/>
  <c r="H50" i="7"/>
  <c r="C51" i="7" s="1"/>
  <c r="H51" i="7" s="1"/>
  <c r="C52" i="7" s="1"/>
  <c r="H52" i="7" s="1"/>
  <c r="C53" i="7" s="1"/>
  <c r="AQ75" i="1"/>
  <c r="I53" i="7"/>
  <c r="G53" i="7"/>
  <c r="BA46" i="12"/>
  <c r="BA54" i="12"/>
  <c r="BA63" i="12" s="1"/>
  <c r="AQ55" i="1"/>
  <c r="G42" i="14"/>
  <c r="J84" i="14"/>
  <c r="A59" i="7"/>
  <c r="D58" i="7"/>
  <c r="AX28" i="6"/>
  <c r="E54" i="7"/>
  <c r="B55" i="7"/>
  <c r="N84" i="14"/>
  <c r="BA65" i="12"/>
  <c r="AT55" i="1"/>
  <c r="AT64" i="1" s="1"/>
  <c r="C42" i="14"/>
  <c r="K42" i="14"/>
  <c r="AN19" i="6" l="1"/>
  <c r="AQ18" i="6"/>
  <c r="AP65" i="1" s="1"/>
  <c r="AQ43" i="1"/>
  <c r="BE54" i="1"/>
  <c r="BE63" i="1" s="1"/>
  <c r="AP45" i="1"/>
  <c r="AP46" i="1" s="1"/>
  <c r="AO63" i="1"/>
  <c r="AO65" i="1"/>
  <c r="BE65" i="1" s="1"/>
  <c r="AL11" i="6"/>
  <c r="AL80" i="1"/>
  <c r="AL82" i="1" s="1"/>
  <c r="AM10" i="6" s="1"/>
  <c r="H93" i="14"/>
  <c r="H98" i="14" s="1"/>
  <c r="H101" i="14" s="1"/>
  <c r="L93" i="14"/>
  <c r="L98" i="14" s="1"/>
  <c r="L101" i="14" s="1"/>
  <c r="AV36" i="6"/>
  <c r="D93" i="14"/>
  <c r="D98" i="14" s="1"/>
  <c r="AU41" i="6"/>
  <c r="E42" i="14"/>
  <c r="F42" i="14" s="1"/>
  <c r="C52" i="14"/>
  <c r="A60" i="7"/>
  <c r="D59" i="7"/>
  <c r="I42" i="14"/>
  <c r="J42" i="14" s="1"/>
  <c r="G52" i="14"/>
  <c r="AQ64" i="1"/>
  <c r="H53" i="7"/>
  <c r="AT75" i="1"/>
  <c r="G72" i="14" s="1"/>
  <c r="AZ6" i="6"/>
  <c r="AY28" i="6"/>
  <c r="BA66" i="12"/>
  <c r="BA78" i="12" s="1"/>
  <c r="BF45" i="12"/>
  <c r="BF46" i="12" s="1"/>
  <c r="BG43" i="12"/>
  <c r="BG45" i="12" s="1"/>
  <c r="BG46" i="12" s="1"/>
  <c r="E55" i="7"/>
  <c r="B56" i="7"/>
  <c r="BB65" i="12"/>
  <c r="BF65" i="12" s="1"/>
  <c r="BG65" i="12" s="1"/>
  <c r="BF56" i="12"/>
  <c r="BG56" i="12" s="1"/>
  <c r="AT80" i="12"/>
  <c r="AT33" i="6"/>
  <c r="K52" i="14"/>
  <c r="M42" i="14"/>
  <c r="N42" i="14" s="1"/>
  <c r="I54" i="7"/>
  <c r="AQ76" i="1"/>
  <c r="AR15" i="6"/>
  <c r="AS15" i="6" s="1"/>
  <c r="AT15" i="6" s="1"/>
  <c r="BB46" i="12"/>
  <c r="BB54" i="12"/>
  <c r="AP14" i="6"/>
  <c r="AO19" i="6"/>
  <c r="AR18" i="6" l="1"/>
  <c r="C54" i="7"/>
  <c r="F54" i="7"/>
  <c r="AR43" i="1"/>
  <c r="AS43" i="1" s="1"/>
  <c r="AS56" i="1" s="1"/>
  <c r="AQ56" i="1"/>
  <c r="AQ65" i="1" s="1"/>
  <c r="AQ45" i="1"/>
  <c r="AQ54" i="1" s="1"/>
  <c r="AP54" i="1"/>
  <c r="AP63" i="1" s="1"/>
  <c r="AP66" i="1" s="1"/>
  <c r="AP78" i="1" s="1"/>
  <c r="BE66" i="1"/>
  <c r="BE78" i="1" s="1"/>
  <c r="BE82" i="1" s="1"/>
  <c r="BF80" i="1" s="1"/>
  <c r="AM80" i="1"/>
  <c r="AM82" i="1" s="1"/>
  <c r="AN10" i="6" s="1"/>
  <c r="AM11" i="6"/>
  <c r="AO66" i="1"/>
  <c r="AO78" i="1" s="1"/>
  <c r="AU15" i="6"/>
  <c r="C94" i="14" s="1"/>
  <c r="AW36" i="6"/>
  <c r="AV41" i="6"/>
  <c r="AQ46" i="1"/>
  <c r="D77" i="14"/>
  <c r="AT82" i="12"/>
  <c r="AU32" i="6" s="1"/>
  <c r="C61" i="14"/>
  <c r="E52" i="14"/>
  <c r="F52" i="14" s="1"/>
  <c r="I72" i="14"/>
  <c r="I73" i="14" s="1"/>
  <c r="G73" i="14"/>
  <c r="E56" i="7"/>
  <c r="F56" i="7"/>
  <c r="AW42" i="1" s="1"/>
  <c r="B57" i="7"/>
  <c r="BF14" i="6"/>
  <c r="BF19" i="6" s="1"/>
  <c r="AQ14" i="6"/>
  <c r="AP19" i="6"/>
  <c r="BB63" i="12"/>
  <c r="BB66" i="12" s="1"/>
  <c r="BB78" i="12" s="1"/>
  <c r="BF54" i="12"/>
  <c r="K61" i="14"/>
  <c r="M52" i="14"/>
  <c r="N52" i="14" s="1"/>
  <c r="I55" i="7"/>
  <c r="AZ28" i="6"/>
  <c r="AT76" i="1"/>
  <c r="C72" i="14"/>
  <c r="K72" i="14"/>
  <c r="BA6" i="6"/>
  <c r="G61" i="14"/>
  <c r="I52" i="14"/>
  <c r="J52" i="14" s="1"/>
  <c r="D60" i="7"/>
  <c r="A61" i="7"/>
  <c r="D61" i="7" s="1"/>
  <c r="AS45" i="1" l="1"/>
  <c r="AS54" i="1" s="1"/>
  <c r="AS63" i="1" s="1"/>
  <c r="AS18" i="6"/>
  <c r="AT18" i="6" s="1"/>
  <c r="AS65" i="1" s="1"/>
  <c r="AT43" i="1"/>
  <c r="AU42" i="1"/>
  <c r="AU55" i="1" s="1"/>
  <c r="AU64" i="1" s="1"/>
  <c r="G54" i="7"/>
  <c r="AR45" i="1"/>
  <c r="AR54" i="1" s="1"/>
  <c r="AR56" i="1"/>
  <c r="K94" i="14"/>
  <c r="M94" i="14" s="1"/>
  <c r="N94" i="14" s="1"/>
  <c r="AN80" i="1"/>
  <c r="AN82" i="1" s="1"/>
  <c r="AO10" i="6" s="1"/>
  <c r="AN11" i="6"/>
  <c r="G94" i="14"/>
  <c r="I94" i="14" s="1"/>
  <c r="J94" i="14" s="1"/>
  <c r="AW41" i="6"/>
  <c r="AX36" i="6"/>
  <c r="J73" i="14"/>
  <c r="K73" i="14"/>
  <c r="M72" i="14"/>
  <c r="M73" i="14" s="1"/>
  <c r="BA28" i="6"/>
  <c r="BF63" i="12"/>
  <c r="BF66" i="12" s="1"/>
  <c r="BF78" i="12" s="1"/>
  <c r="BF82" i="12" s="1"/>
  <c r="BG54" i="12"/>
  <c r="BG63" i="12" s="1"/>
  <c r="BG66" i="12" s="1"/>
  <c r="BG78" i="12" s="1"/>
  <c r="BG82" i="12" s="1"/>
  <c r="F57" i="7"/>
  <c r="AX42" i="1" s="1"/>
  <c r="B58" i="7"/>
  <c r="E57" i="7"/>
  <c r="E61" i="14"/>
  <c r="F61" i="14" s="1"/>
  <c r="D79" i="14"/>
  <c r="D88" i="14" s="1"/>
  <c r="F55" i="7"/>
  <c r="AW55" i="1"/>
  <c r="AW64" i="1" s="1"/>
  <c r="C43" i="14"/>
  <c r="K43" i="14"/>
  <c r="AQ63" i="1"/>
  <c r="AQ66" i="1" s="1"/>
  <c r="AQ78" i="1" s="1"/>
  <c r="E72" i="14"/>
  <c r="E73" i="14" s="1"/>
  <c r="C73" i="14"/>
  <c r="AS46" i="1"/>
  <c r="M61" i="14"/>
  <c r="N61" i="14" s="1"/>
  <c r="G56" i="7"/>
  <c r="I56" i="7"/>
  <c r="J72" i="14"/>
  <c r="BB6" i="6"/>
  <c r="I61" i="14"/>
  <c r="J61" i="14" s="1"/>
  <c r="AR14" i="6"/>
  <c r="AQ19" i="6"/>
  <c r="AU80" i="12"/>
  <c r="AU82" i="12" s="1"/>
  <c r="AV32" i="6" s="1"/>
  <c r="AU33" i="6"/>
  <c r="E94" i="14"/>
  <c r="F94" i="14" s="1"/>
  <c r="G43" i="14"/>
  <c r="AR65" i="1" l="1"/>
  <c r="AR63" i="1"/>
  <c r="AU43" i="1"/>
  <c r="AU56" i="1" s="1"/>
  <c r="AR46" i="1"/>
  <c r="AU18" i="6"/>
  <c r="C97" i="14" s="1"/>
  <c r="E97" i="14" s="1"/>
  <c r="F97" i="14" s="1"/>
  <c r="AT45" i="1"/>
  <c r="AT46" i="1" s="1"/>
  <c r="AT56" i="1"/>
  <c r="AU75" i="1"/>
  <c r="H54" i="7"/>
  <c r="C55" i="7" s="1"/>
  <c r="AO80" i="1"/>
  <c r="AO82" i="1" s="1"/>
  <c r="AP10" i="6" s="1"/>
  <c r="AO11" i="6"/>
  <c r="G97" i="14"/>
  <c r="I97" i="14" s="1"/>
  <c r="J97" i="14" s="1"/>
  <c r="K97" i="14"/>
  <c r="M97" i="14" s="1"/>
  <c r="N97" i="14" s="1"/>
  <c r="F72" i="14"/>
  <c r="N72" i="14"/>
  <c r="AX41" i="6"/>
  <c r="AY36" i="6"/>
  <c r="G62" i="14"/>
  <c r="I62" i="14" s="1"/>
  <c r="J62" i="14" s="1"/>
  <c r="F73" i="14"/>
  <c r="N73" i="14"/>
  <c r="AS14" i="6"/>
  <c r="AR19" i="6"/>
  <c r="AW75" i="1"/>
  <c r="AW76" i="1" s="1"/>
  <c r="AS66" i="1"/>
  <c r="AS78" i="1" s="1"/>
  <c r="C53" i="14"/>
  <c r="E43" i="14"/>
  <c r="E45" i="14" s="1"/>
  <c r="C45" i="14"/>
  <c r="AX55" i="1"/>
  <c r="AX64" i="1" s="1"/>
  <c r="BC6" i="6"/>
  <c r="AV42" i="1"/>
  <c r="G55" i="7"/>
  <c r="AV80" i="12"/>
  <c r="AV82" i="12" s="1"/>
  <c r="AW32" i="6" s="1"/>
  <c r="AV33" i="6"/>
  <c r="AT54" i="1"/>
  <c r="D89" i="14"/>
  <c r="D101" i="14" s="1"/>
  <c r="G57" i="7"/>
  <c r="I57" i="7"/>
  <c r="BB28" i="6"/>
  <c r="I43" i="14"/>
  <c r="I45" i="14" s="1"/>
  <c r="G53" i="14"/>
  <c r="G45" i="14"/>
  <c r="M43" i="14"/>
  <c r="M45" i="14" s="1"/>
  <c r="K53" i="14"/>
  <c r="K45" i="14"/>
  <c r="E58" i="7"/>
  <c r="B59" i="7"/>
  <c r="AR66" i="1" l="1"/>
  <c r="AR78" i="1" s="1"/>
  <c r="AU45" i="1"/>
  <c r="AU54" i="1" s="1"/>
  <c r="AU63" i="1" s="1"/>
  <c r="AT63" i="1"/>
  <c r="AT65" i="1"/>
  <c r="C62" i="14" s="1"/>
  <c r="E62" i="14" s="1"/>
  <c r="F62" i="14" s="1"/>
  <c r="AV18" i="6"/>
  <c r="AU65" i="1" s="1"/>
  <c r="AV15" i="6"/>
  <c r="AU76" i="1"/>
  <c r="K62" i="14"/>
  <c r="M62" i="14" s="1"/>
  <c r="N62" i="14" s="1"/>
  <c r="BF10" i="6"/>
  <c r="BF11" i="6" s="1"/>
  <c r="AP11" i="6"/>
  <c r="AP80" i="1"/>
  <c r="N43" i="14"/>
  <c r="J43" i="14"/>
  <c r="AY41" i="6"/>
  <c r="AZ36" i="6"/>
  <c r="I53" i="14"/>
  <c r="J53" i="14" s="1"/>
  <c r="BC28" i="6"/>
  <c r="AV75" i="1"/>
  <c r="H55" i="7"/>
  <c r="C56" i="7" s="1"/>
  <c r="H56" i="7" s="1"/>
  <c r="C57" i="7" s="1"/>
  <c r="H57" i="7" s="1"/>
  <c r="E53" i="14"/>
  <c r="F53" i="14" s="1"/>
  <c r="E59" i="7"/>
  <c r="B60" i="7"/>
  <c r="N45" i="14"/>
  <c r="K51" i="14"/>
  <c r="G51" i="14"/>
  <c r="J45" i="14"/>
  <c r="AW80" i="12"/>
  <c r="AW82" i="12" s="1"/>
  <c r="AX32" i="6" s="1"/>
  <c r="AW33" i="6"/>
  <c r="AV55" i="1"/>
  <c r="AV43" i="1"/>
  <c r="F43" i="14"/>
  <c r="AT14" i="6"/>
  <c r="AS19" i="6"/>
  <c r="M53" i="14"/>
  <c r="N53" i="14" s="1"/>
  <c r="AX75" i="1"/>
  <c r="AX76" i="1" s="1"/>
  <c r="C51" i="14"/>
  <c r="F45" i="14"/>
  <c r="I58" i="7"/>
  <c r="BG6" i="6"/>
  <c r="AU66" i="1" l="1"/>
  <c r="AU78" i="1" s="1"/>
  <c r="AU46" i="1"/>
  <c r="AT66" i="1"/>
  <c r="AT78" i="1" s="1"/>
  <c r="C58" i="7"/>
  <c r="F58" i="7"/>
  <c r="AP82" i="1"/>
  <c r="AQ10" i="6" s="1"/>
  <c r="G77" i="14"/>
  <c r="I77" i="14" s="1"/>
  <c r="J77" i="14" s="1"/>
  <c r="AZ41" i="6"/>
  <c r="BA36" i="6"/>
  <c r="BH6" i="6"/>
  <c r="B61" i="7"/>
  <c r="F60" i="7"/>
  <c r="BA42" i="1" s="1"/>
  <c r="E60" i="7"/>
  <c r="BG28" i="6"/>
  <c r="AV56" i="1"/>
  <c r="AW18" i="6"/>
  <c r="AX80" i="12"/>
  <c r="AX82" i="12" s="1"/>
  <c r="AY32" i="6" s="1"/>
  <c r="AX33" i="6"/>
  <c r="G60" i="14"/>
  <c r="I51" i="14"/>
  <c r="I60" i="14" s="1"/>
  <c r="I63" i="14" s="1"/>
  <c r="I75" i="14" s="1"/>
  <c r="AU14" i="6"/>
  <c r="AT19" i="6"/>
  <c r="AV45" i="1"/>
  <c r="K60" i="14"/>
  <c r="M51" i="14"/>
  <c r="M60" i="14" s="1"/>
  <c r="M63" i="14" s="1"/>
  <c r="M75" i="14" s="1"/>
  <c r="M79" i="14" s="1"/>
  <c r="I59" i="7"/>
  <c r="AV76" i="1"/>
  <c r="AW15" i="6"/>
  <c r="AX15" i="6" s="1"/>
  <c r="AY15" i="6" s="1"/>
  <c r="C60" i="14"/>
  <c r="E51" i="14"/>
  <c r="E60" i="14" s="1"/>
  <c r="E63" i="14" s="1"/>
  <c r="E75" i="14" s="1"/>
  <c r="AW43" i="1"/>
  <c r="AV64" i="1"/>
  <c r="AY42" i="1" l="1"/>
  <c r="AY55" i="1" s="1"/>
  <c r="AY64" i="1" s="1"/>
  <c r="G58" i="7"/>
  <c r="I79" i="14"/>
  <c r="AQ11" i="6"/>
  <c r="AQ80" i="1"/>
  <c r="AQ82" i="1" s="1"/>
  <c r="AR10" i="6" s="1"/>
  <c r="N51" i="14"/>
  <c r="BB36" i="6"/>
  <c r="BA41" i="6"/>
  <c r="F59" i="7"/>
  <c r="AV14" i="6"/>
  <c r="K93" i="14"/>
  <c r="C93" i="14"/>
  <c r="G93" i="14"/>
  <c r="AU19" i="6"/>
  <c r="AV65" i="1"/>
  <c r="BA55" i="1"/>
  <c r="BA64" i="1" s="1"/>
  <c r="N60" i="14"/>
  <c r="K63" i="14"/>
  <c r="AY80" i="12"/>
  <c r="AY82" i="12" s="1"/>
  <c r="AZ32" i="6" s="1"/>
  <c r="AY33" i="6"/>
  <c r="E61" i="7"/>
  <c r="F61" i="7"/>
  <c r="BB42" i="1" s="1"/>
  <c r="AW56" i="1"/>
  <c r="AW45" i="1"/>
  <c r="AX43" i="1"/>
  <c r="AY43" i="1" s="1"/>
  <c r="F51" i="14"/>
  <c r="AV54" i="1"/>
  <c r="AV46" i="1"/>
  <c r="J51" i="14"/>
  <c r="AX18" i="6"/>
  <c r="BH28" i="6"/>
  <c r="F60" i="14"/>
  <c r="C63" i="14"/>
  <c r="J60" i="14"/>
  <c r="G63" i="14"/>
  <c r="I60" i="7"/>
  <c r="G60" i="7"/>
  <c r="AY75" i="1" l="1"/>
  <c r="H58" i="7"/>
  <c r="C59" i="7" s="1"/>
  <c r="AR80" i="1"/>
  <c r="AR82" i="1" s="1"/>
  <c r="AS10" i="6" s="1"/>
  <c r="AR11" i="6"/>
  <c r="AY18" i="6"/>
  <c r="AZ18" i="6" s="1"/>
  <c r="BB41" i="6"/>
  <c r="BC36" i="6"/>
  <c r="AW65" i="1"/>
  <c r="AX56" i="1"/>
  <c r="AX45" i="1"/>
  <c r="BB55" i="1"/>
  <c r="BB64" i="1" s="1"/>
  <c r="K75" i="14"/>
  <c r="N63" i="14"/>
  <c r="AW14" i="6"/>
  <c r="AV19" i="6"/>
  <c r="AY56" i="1"/>
  <c r="AY45" i="1"/>
  <c r="I61" i="7"/>
  <c r="G61" i="7"/>
  <c r="G98" i="14"/>
  <c r="I93" i="14"/>
  <c r="I98" i="14" s="1"/>
  <c r="AZ42" i="1"/>
  <c r="G59" i="7"/>
  <c r="G75" i="14"/>
  <c r="J63" i="14"/>
  <c r="BA75" i="1"/>
  <c r="BA76" i="1" s="1"/>
  <c r="C75" i="14"/>
  <c r="F63" i="14"/>
  <c r="AV63" i="1"/>
  <c r="AV66" i="1" s="1"/>
  <c r="AV78" i="1" s="1"/>
  <c r="AW54" i="1"/>
  <c r="AW63" i="1" s="1"/>
  <c r="AW46" i="1"/>
  <c r="C98" i="14"/>
  <c r="E93" i="14"/>
  <c r="E98" i="14" s="1"/>
  <c r="AZ80" i="12"/>
  <c r="AZ82" i="12" s="1"/>
  <c r="BA32" i="6" s="1"/>
  <c r="AZ33" i="6"/>
  <c r="K98" i="14"/>
  <c r="M93" i="14"/>
  <c r="M98" i="14" s="1"/>
  <c r="AY76" i="1" l="1"/>
  <c r="AZ15" i="6"/>
  <c r="AS11" i="6"/>
  <c r="AS80" i="1"/>
  <c r="AS82" i="1" s="1"/>
  <c r="AT10" i="6" s="1"/>
  <c r="AX65" i="1"/>
  <c r="AW66" i="1"/>
  <c r="AW78" i="1" s="1"/>
  <c r="AY65" i="1"/>
  <c r="J93" i="14"/>
  <c r="BC41" i="6"/>
  <c r="BG36" i="6"/>
  <c r="N93" i="14"/>
  <c r="N98" i="14"/>
  <c r="BA80" i="12"/>
  <c r="BA82" i="12" s="1"/>
  <c r="BB32" i="6" s="1"/>
  <c r="BA33" i="6"/>
  <c r="F93" i="14"/>
  <c r="F75" i="14"/>
  <c r="J75" i="14"/>
  <c r="G79" i="14"/>
  <c r="J98" i="14"/>
  <c r="AY46" i="1"/>
  <c r="AY54" i="1"/>
  <c r="AY63" i="1" s="1"/>
  <c r="H59" i="7"/>
  <c r="C60" i="7" s="1"/>
  <c r="H60" i="7" s="1"/>
  <c r="C61" i="7" s="1"/>
  <c r="H61" i="7" s="1"/>
  <c r="AZ75" i="1"/>
  <c r="K79" i="14"/>
  <c r="N75" i="14"/>
  <c r="AX54" i="1"/>
  <c r="AX63" i="1" s="1"/>
  <c r="AX46" i="1"/>
  <c r="AZ55" i="1"/>
  <c r="AZ43" i="1"/>
  <c r="BF42" i="1"/>
  <c r="BB75" i="1"/>
  <c r="F98" i="14"/>
  <c r="AX14" i="6"/>
  <c r="AW19" i="6"/>
  <c r="AX66" i="1" l="1"/>
  <c r="AX78" i="1" s="1"/>
  <c r="AT80" i="1"/>
  <c r="AT11" i="6"/>
  <c r="AY66" i="1"/>
  <c r="AY78" i="1" s="1"/>
  <c r="BG41" i="6"/>
  <c r="BH36" i="6"/>
  <c r="BH41" i="6" s="1"/>
  <c r="BA43" i="1"/>
  <c r="BB43" i="1" s="1"/>
  <c r="AZ45" i="1"/>
  <c r="N79" i="14"/>
  <c r="K88" i="14"/>
  <c r="J79" i="14"/>
  <c r="G88" i="14"/>
  <c r="BG42" i="1"/>
  <c r="AZ76" i="1"/>
  <c r="BA15" i="6"/>
  <c r="BB15" i="6" s="1"/>
  <c r="BC15" i="6" s="1"/>
  <c r="BG15" i="6" s="1"/>
  <c r="BH15" i="6" s="1"/>
  <c r="AZ56" i="1"/>
  <c r="BA18" i="6"/>
  <c r="BB80" i="12"/>
  <c r="BB82" i="12" s="1"/>
  <c r="BC32" i="6" s="1"/>
  <c r="BB33" i="6"/>
  <c r="AY14" i="6"/>
  <c r="AX19" i="6"/>
  <c r="BB76" i="1"/>
  <c r="BF75" i="1"/>
  <c r="AZ64" i="1"/>
  <c r="BF64" i="1" s="1"/>
  <c r="BG64" i="1" s="1"/>
  <c r="BF55" i="1"/>
  <c r="BG55" i="1" s="1"/>
  <c r="C77" i="14" l="1"/>
  <c r="AT82" i="1"/>
  <c r="AU10" i="6" s="1"/>
  <c r="BB18" i="6"/>
  <c r="AZ65" i="1"/>
  <c r="M88" i="14"/>
  <c r="M89" i="14" s="1"/>
  <c r="M101" i="14" s="1"/>
  <c r="K89" i="14"/>
  <c r="BG32" i="6"/>
  <c r="BC33" i="6"/>
  <c r="G89" i="14"/>
  <c r="I88" i="14"/>
  <c r="I89" i="14" s="1"/>
  <c r="I101" i="14" s="1"/>
  <c r="AZ46" i="1"/>
  <c r="AZ54" i="1"/>
  <c r="AZ63" i="1" s="1"/>
  <c r="BA56" i="1"/>
  <c r="BA45" i="1"/>
  <c r="AZ14" i="6"/>
  <c r="AY19" i="6"/>
  <c r="BF76" i="1"/>
  <c r="BG75" i="1"/>
  <c r="BG76" i="1" s="1"/>
  <c r="BB56" i="1"/>
  <c r="BF43" i="1"/>
  <c r="BB45" i="1"/>
  <c r="BA65" i="1" l="1"/>
  <c r="AU11" i="6"/>
  <c r="AU80" i="1"/>
  <c r="AU82" i="1" s="1"/>
  <c r="AV10" i="6" s="1"/>
  <c r="E77" i="14"/>
  <c r="C79" i="14"/>
  <c r="N88" i="14"/>
  <c r="AZ66" i="1"/>
  <c r="AZ78" i="1" s="1"/>
  <c r="J88" i="14"/>
  <c r="BB65" i="1"/>
  <c r="BF65" i="1" s="1"/>
  <c r="BG65" i="1" s="1"/>
  <c r="BF56" i="1"/>
  <c r="BG56" i="1" s="1"/>
  <c r="BA14" i="6"/>
  <c r="AZ19" i="6"/>
  <c r="BB46" i="1"/>
  <c r="BB54" i="1"/>
  <c r="BA46" i="1"/>
  <c r="BA54" i="1"/>
  <c r="BA63" i="1" s="1"/>
  <c r="BH32" i="6"/>
  <c r="BH33" i="6" s="1"/>
  <c r="BG33" i="6"/>
  <c r="BG43" i="1"/>
  <c r="BG45" i="1" s="1"/>
  <c r="BG46" i="1" s="1"/>
  <c r="BF45" i="1"/>
  <c r="BF46" i="1" s="1"/>
  <c r="J89" i="14"/>
  <c r="G101" i="14"/>
  <c r="K101" i="14"/>
  <c r="N89" i="14"/>
  <c r="BA66" i="1" l="1"/>
  <c r="BA78" i="1" s="1"/>
  <c r="C88" i="14"/>
  <c r="E79" i="14"/>
  <c r="F79" i="14" s="1"/>
  <c r="F77" i="14"/>
  <c r="AV80" i="1"/>
  <c r="AV82" i="1" s="1"/>
  <c r="AW10" i="6" s="1"/>
  <c r="AV11" i="6"/>
  <c r="BB63" i="1"/>
  <c r="BB66" i="1" s="1"/>
  <c r="BB78" i="1" s="1"/>
  <c r="BF54" i="1"/>
  <c r="BB14" i="6"/>
  <c r="BA19" i="6"/>
  <c r="AW80" i="1" l="1"/>
  <c r="AW82" i="1" s="1"/>
  <c r="AX10" i="6" s="1"/>
  <c r="AW11" i="6"/>
  <c r="C89" i="14"/>
  <c r="E88" i="14"/>
  <c r="BC14" i="6"/>
  <c r="BB19" i="6"/>
  <c r="BF63" i="1"/>
  <c r="BF66" i="1" s="1"/>
  <c r="BF78" i="1" s="1"/>
  <c r="BF82" i="1" s="1"/>
  <c r="BG54" i="1"/>
  <c r="BG63" i="1" s="1"/>
  <c r="BG66" i="1" s="1"/>
  <c r="BG78" i="1" s="1"/>
  <c r="BG82" i="1" s="1"/>
  <c r="E89" i="14" l="1"/>
  <c r="E101" i="14" s="1"/>
  <c r="F88" i="14"/>
  <c r="C101" i="14"/>
  <c r="AX80" i="1"/>
  <c r="AX82" i="1" s="1"/>
  <c r="AY10" i="6" s="1"/>
  <c r="AX11" i="6"/>
  <c r="BG14" i="6"/>
  <c r="BC19" i="6"/>
  <c r="F89" i="14" l="1"/>
  <c r="AY11" i="6"/>
  <c r="AY80" i="1"/>
  <c r="AY82" i="1" s="1"/>
  <c r="AZ10" i="6" s="1"/>
  <c r="BH14" i="6"/>
  <c r="BH19" i="6" s="1"/>
  <c r="BG19" i="6"/>
  <c r="AZ80" i="1" l="1"/>
  <c r="AZ82" i="1" s="1"/>
  <c r="BA10" i="6" s="1"/>
  <c r="AZ11" i="6"/>
  <c r="BA80" i="1" l="1"/>
  <c r="BA82" i="1" s="1"/>
  <c r="BB10" i="6" s="1"/>
  <c r="BA11" i="6"/>
  <c r="BB11" i="6" l="1"/>
  <c r="BB80" i="1"/>
  <c r="BB82" i="1" s="1"/>
  <c r="BC10" i="6" s="1"/>
  <c r="BC11" i="6" l="1"/>
  <c r="BG10" i="6"/>
  <c r="BH10" i="6" l="1"/>
  <c r="BH11" i="6" s="1"/>
  <c r="BG11" i="6"/>
</calcChain>
</file>

<file path=xl/sharedStrings.xml><?xml version="1.0" encoding="utf-8"?>
<sst xmlns="http://schemas.openxmlformats.org/spreadsheetml/2006/main" count="357" uniqueCount="134">
  <si>
    <t>Shareholders' Contributions</t>
  </si>
  <si>
    <t>Turnover</t>
  </si>
  <si>
    <t>Cost of Sales</t>
  </si>
  <si>
    <t>Gross Profit</t>
  </si>
  <si>
    <t>Gross Profit %</t>
  </si>
  <si>
    <t>Accounting Fees</t>
  </si>
  <si>
    <t>Bank Charges</t>
  </si>
  <si>
    <t>Computer Expenses</t>
  </si>
  <si>
    <t>Uniforms</t>
  </si>
  <si>
    <t>Electricity &amp; Water</t>
  </si>
  <si>
    <t xml:space="preserve">Entertainment </t>
  </si>
  <si>
    <t>Insurance</t>
  </si>
  <si>
    <t>Printing &amp; Stationery</t>
  </si>
  <si>
    <t>Rent</t>
  </si>
  <si>
    <t>Salaries &amp; Wages</t>
  </si>
  <si>
    <t>Security</t>
  </si>
  <si>
    <t>Subscriptions</t>
  </si>
  <si>
    <t>Telephone &amp; Fax</t>
  </si>
  <si>
    <t>Advertising &amp; Marketing</t>
  </si>
  <si>
    <t>Cleaning Expenses</t>
  </si>
  <si>
    <t>Professional Fees</t>
  </si>
  <si>
    <t>Postage</t>
  </si>
  <si>
    <t>Motor Vehicle Expenses</t>
  </si>
  <si>
    <t>Equipment Hire</t>
  </si>
  <si>
    <t>Repairs &amp; Maintenance</t>
  </si>
  <si>
    <t>Consumables</t>
  </si>
  <si>
    <t>Legal Fees</t>
  </si>
  <si>
    <t>Training</t>
  </si>
  <si>
    <t>Inventory</t>
  </si>
  <si>
    <t>Working Capital</t>
  </si>
  <si>
    <t>Debtors Days</t>
  </si>
  <si>
    <t>Creditors Days</t>
  </si>
  <si>
    <t>Inventory Days</t>
  </si>
  <si>
    <t>Income Tax %</t>
  </si>
  <si>
    <t>Interest Rate</t>
  </si>
  <si>
    <t>Assets</t>
  </si>
  <si>
    <t>Current Assets</t>
  </si>
  <si>
    <t>Cash</t>
  </si>
  <si>
    <t>Equity &amp; Liabilities</t>
  </si>
  <si>
    <t>Retained Earnings</t>
  </si>
  <si>
    <t>Current Liabilities</t>
  </si>
  <si>
    <t>Taxation</t>
  </si>
  <si>
    <t>Start-up Balances</t>
  </si>
  <si>
    <t>Long Term Loans</t>
  </si>
  <si>
    <t>Repayment Term</t>
  </si>
  <si>
    <t>Interest Only</t>
  </si>
  <si>
    <t>No</t>
  </si>
  <si>
    <t>Interest</t>
  </si>
  <si>
    <t>Loan Repayment</t>
  </si>
  <si>
    <t>Opening Balance</t>
  </si>
  <si>
    <t>Closing Balance</t>
  </si>
  <si>
    <t>Start Date</t>
  </si>
  <si>
    <t>Provision for Taxation</t>
  </si>
  <si>
    <t>Loan Terms</t>
  </si>
  <si>
    <t>Expenses</t>
  </si>
  <si>
    <t>Property, Plant &amp; Equipment</t>
  </si>
  <si>
    <t>Total Expenses</t>
  </si>
  <si>
    <t>Additional Financing</t>
  </si>
  <si>
    <t>Interest Charged</t>
  </si>
  <si>
    <t>Capital Repayment</t>
  </si>
  <si>
    <t>© www.excel-skills.com</t>
  </si>
  <si>
    <t>Repayment Term (in years)</t>
  </si>
  <si>
    <t>Business Name</t>
  </si>
  <si>
    <t>Profit / (Loss) before Interest &amp; Tax</t>
  </si>
  <si>
    <t>Profit / (Loss) for the year</t>
  </si>
  <si>
    <t>Profit / (Loss) %</t>
  </si>
  <si>
    <t>Depreciation</t>
  </si>
  <si>
    <t>Cash flows from operating activities</t>
  </si>
  <si>
    <t>Adjustment for non-cash expenses:</t>
  </si>
  <si>
    <t>Changes in operating assets &amp; liabilities</t>
  </si>
  <si>
    <t>Cash generated from operations</t>
  </si>
  <si>
    <t>Interest paid</t>
  </si>
  <si>
    <t>Taxation paid</t>
  </si>
  <si>
    <t>Net cash from operating activities</t>
  </si>
  <si>
    <t>Cash flows from investing activities</t>
  </si>
  <si>
    <t>Purchases of property, plant &amp; equipment</t>
  </si>
  <si>
    <t>Net cash used in investing activities</t>
  </si>
  <si>
    <t>Cash flows from financing activities</t>
  </si>
  <si>
    <t>Proceeds from shareholders' contributions</t>
  </si>
  <si>
    <t>Proceeds from loans</t>
  </si>
  <si>
    <t>Net cash from financing activities</t>
  </si>
  <si>
    <t>Increase / (Decrease) in cash equivalents</t>
  </si>
  <si>
    <t>Cash &amp; cash equivalents at beginning of year</t>
  </si>
  <si>
    <t>Cash &amp; cash equivalents at end of year</t>
  </si>
  <si>
    <t>Receivables</t>
  </si>
  <si>
    <t>Payables</t>
  </si>
  <si>
    <t>Repayment of loans</t>
  </si>
  <si>
    <t>Total Q1</t>
  </si>
  <si>
    <t>Total Q2</t>
  </si>
  <si>
    <t>Total Q3</t>
  </si>
  <si>
    <t>Total Q4</t>
  </si>
  <si>
    <t>Profit / (Loss) for the period</t>
  </si>
  <si>
    <t>Repayment Date</t>
  </si>
  <si>
    <t>Week End Date</t>
  </si>
  <si>
    <t>Repayment Day</t>
  </si>
  <si>
    <t>Repayment Number</t>
  </si>
  <si>
    <t>Quarters</t>
  </si>
  <si>
    <t>Quarter 1 : Number of Weeks</t>
  </si>
  <si>
    <t>Quarter 2 : Number of Weeks</t>
  </si>
  <si>
    <t>Quarter 3 : Number of Weeks</t>
  </si>
  <si>
    <t>Quarter 4 : Number of Weeks</t>
  </si>
  <si>
    <t>Q1</t>
  </si>
  <si>
    <t>Q2</t>
  </si>
  <si>
    <t>Q3</t>
  </si>
  <si>
    <t>Q4</t>
  </si>
  <si>
    <t>Q0</t>
  </si>
  <si>
    <t>Number of days in period</t>
  </si>
  <si>
    <t>Note: It is assumed that income tax is paid on a bi-annual basis (every 6 months or 26 weeks).</t>
  </si>
  <si>
    <t>Cash Flow Forecast - Assumptions</t>
  </si>
  <si>
    <t>Forecast - Income Statement</t>
  </si>
  <si>
    <t>Forecast - Cash Flow Statement</t>
  </si>
  <si>
    <t>Actual Results - Income Statement</t>
  </si>
  <si>
    <t>Actual Results - Cash Flow Statement</t>
  </si>
  <si>
    <t>Forecast - Balance Sheet</t>
  </si>
  <si>
    <t>Actual Results - Balance Sheet</t>
  </si>
  <si>
    <t>Forecast - Loan Repayment Schedule</t>
  </si>
  <si>
    <t>Management Report - Forecast vs Actual</t>
  </si>
  <si>
    <t>Year-to-Date</t>
  </si>
  <si>
    <t>Income Statement</t>
  </si>
  <si>
    <t>Forecast</t>
  </si>
  <si>
    <t>Actual</t>
  </si>
  <si>
    <t>Difference</t>
  </si>
  <si>
    <t>Diff %</t>
  </si>
  <si>
    <t>Cash Flow Statement</t>
  </si>
  <si>
    <t>Balance Sheet</t>
  </si>
  <si>
    <t>Total Assets</t>
  </si>
  <si>
    <t>Total Equity &amp; Liabilities</t>
  </si>
  <si>
    <t>report balance control</t>
  </si>
  <si>
    <t>Report for week ending:</t>
  </si>
  <si>
    <t>YTD - Weeks:</t>
  </si>
  <si>
    <t>Weekly turnover projections need to be entered on the Forecast worksheet.</t>
  </si>
  <si>
    <t>Weekly gross profit percentages need to be entered on the Forecast worksheet.</t>
  </si>
  <si>
    <t>Weekly expense projections need to be entered on the Forecast worksheet.</t>
  </si>
  <si>
    <t>Example Trading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</si>
</sst>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%_);_(* \(#,##0.0%\);_(* &quot;-&quot;_);_(@_)"/>
    <numFmt numFmtId="168" formatCode="_(* #,##0.0_);_(* \(#,##0.0\);_(* &quot;-&quot;??_);_(@_)"/>
    <numFmt numFmtId="169" formatCode="mmm\-yyyy"/>
    <numFmt numFmtId="170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9.5"/>
      <color indexed="9"/>
      <name val="Arial"/>
      <family val="2"/>
    </font>
    <font>
      <i/>
      <sz val="9.5"/>
      <color indexed="9"/>
      <name val="Arial"/>
      <family val="2"/>
    </font>
    <font>
      <i/>
      <sz val="9.5"/>
      <color indexed="8"/>
      <name val="Arial"/>
      <family val="2"/>
    </font>
    <font>
      <sz val="9.5"/>
      <color indexed="12"/>
      <name val="Arial"/>
      <family val="2"/>
    </font>
    <font>
      <b/>
      <u/>
      <sz val="9.5"/>
      <color indexed="17"/>
      <name val="Arial"/>
      <family val="2"/>
    </font>
    <font>
      <sz val="9.5"/>
      <color indexed="8"/>
      <name val="Arial"/>
      <family val="2"/>
    </font>
    <font>
      <b/>
      <sz val="9.5"/>
      <color indexed="8"/>
      <name val="Arial"/>
      <family val="2"/>
    </font>
    <font>
      <i/>
      <sz val="9"/>
      <name val="Arial"/>
      <family val="2"/>
    </font>
    <font>
      <i/>
      <sz val="9"/>
      <color indexed="9"/>
      <name val="Arial"/>
      <family val="2"/>
    </font>
    <font>
      <sz val="9.5"/>
      <color indexed="53"/>
      <name val="Arial"/>
      <family val="2"/>
    </font>
    <font>
      <sz val="9.5"/>
      <color indexed="17"/>
      <name val="Arial"/>
      <family val="2"/>
    </font>
    <font>
      <sz val="9.5"/>
      <color theme="0"/>
      <name val="Arial"/>
      <family val="2"/>
    </font>
    <font>
      <i/>
      <sz val="9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rgb="FFC0C0C0"/>
      </top>
      <bottom style="hair">
        <color rgb="FFC0C0C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NumberFormat="1" applyFont="1" applyProtection="1">
      <protection hidden="1"/>
    </xf>
    <xf numFmtId="0" fontId="6" fillId="0" borderId="0" xfId="0" applyNumberFormat="1" applyFont="1" applyProtection="1">
      <protection hidden="1"/>
    </xf>
    <xf numFmtId="166" fontId="6" fillId="0" borderId="0" xfId="1" applyNumberFormat="1" applyFont="1" applyProtection="1">
      <protection hidden="1"/>
    </xf>
    <xf numFmtId="164" fontId="7" fillId="0" borderId="0" xfId="1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NumberFormat="1" applyFont="1" applyProtection="1">
      <protection hidden="1"/>
    </xf>
    <xf numFmtId="0" fontId="7" fillId="0" borderId="0" xfId="0" applyNumberFormat="1" applyFont="1" applyProtection="1">
      <protection hidden="1"/>
    </xf>
    <xf numFmtId="166" fontId="7" fillId="0" borderId="0" xfId="1" applyNumberFormat="1" applyFont="1" applyProtection="1">
      <protection hidden="1"/>
    </xf>
    <xf numFmtId="164" fontId="6" fillId="0" borderId="0" xfId="1" applyFont="1" applyAlignment="1" applyProtection="1">
      <alignment horizontal="center"/>
      <protection hidden="1"/>
    </xf>
    <xf numFmtId="164" fontId="6" fillId="0" borderId="0" xfId="1" applyFont="1" applyProtection="1">
      <protection hidden="1"/>
    </xf>
    <xf numFmtId="0" fontId="6" fillId="0" borderId="0" xfId="0" applyFont="1" applyProtection="1">
      <protection hidden="1"/>
    </xf>
    <xf numFmtId="166" fontId="7" fillId="0" borderId="0" xfId="1" applyNumberFormat="1" applyFont="1" applyFill="1" applyBorder="1" applyProtection="1">
      <protection hidden="1"/>
    </xf>
    <xf numFmtId="165" fontId="7" fillId="0" borderId="0" xfId="1" applyNumberFormat="1" applyFont="1" applyFill="1" applyBorder="1" applyAlignment="1" applyProtection="1">
      <alignment horizontal="center"/>
      <protection hidden="1"/>
    </xf>
    <xf numFmtId="166" fontId="7" fillId="2" borderId="2" xfId="1" applyNumberFormat="1" applyFont="1" applyFill="1" applyBorder="1" applyProtection="1">
      <protection hidden="1"/>
    </xf>
    <xf numFmtId="0" fontId="7" fillId="0" borderId="0" xfId="0" applyNumberFormat="1" applyFont="1" applyFill="1" applyBorder="1" applyProtection="1">
      <protection hidden="1"/>
    </xf>
    <xf numFmtId="165" fontId="7" fillId="2" borderId="2" xfId="5" applyNumberFormat="1" applyFont="1" applyFill="1" applyBorder="1" applyProtection="1">
      <protection hidden="1"/>
    </xf>
    <xf numFmtId="168" fontId="7" fillId="2" borderId="2" xfId="1" applyNumberFormat="1" applyFont="1" applyFill="1" applyBorder="1" applyProtection="1">
      <protection hidden="1"/>
    </xf>
    <xf numFmtId="166" fontId="7" fillId="2" borderId="2" xfId="1" applyNumberFormat="1" applyFont="1" applyFill="1" applyBorder="1" applyAlignment="1" applyProtection="1">
      <alignment horizontal="right"/>
      <protection hidden="1"/>
    </xf>
    <xf numFmtId="0" fontId="8" fillId="0" borderId="0" xfId="0" applyNumberFormat="1" applyFont="1" applyFill="1" applyBorder="1" applyProtection="1">
      <protection hidden="1"/>
    </xf>
    <xf numFmtId="166" fontId="6" fillId="2" borderId="1" xfId="1" applyNumberFormat="1" applyFont="1" applyFill="1" applyBorder="1" applyProtection="1">
      <protection hidden="1"/>
    </xf>
    <xf numFmtId="0" fontId="6" fillId="0" borderId="0" xfId="1" applyNumberFormat="1" applyFont="1" applyProtection="1">
      <protection hidden="1"/>
    </xf>
    <xf numFmtId="166" fontId="6" fillId="0" borderId="3" xfId="1" applyNumberFormat="1" applyFont="1" applyFill="1" applyBorder="1" applyProtection="1">
      <protection hidden="1"/>
    </xf>
    <xf numFmtId="166" fontId="6" fillId="0" borderId="3" xfId="1" applyNumberFormat="1" applyFont="1" applyBorder="1" applyProtection="1">
      <protection hidden="1"/>
    </xf>
    <xf numFmtId="0" fontId="7" fillId="0" borderId="0" xfId="1" applyNumberFormat="1" applyFont="1" applyProtection="1">
      <protection hidden="1"/>
    </xf>
    <xf numFmtId="166" fontId="7" fillId="0" borderId="4" xfId="1" applyNumberFormat="1" applyFont="1" applyBorder="1" applyProtection="1">
      <protection hidden="1"/>
    </xf>
    <xf numFmtId="166" fontId="6" fillId="0" borderId="4" xfId="1" applyNumberFormat="1" applyFont="1" applyBorder="1" applyProtection="1">
      <protection hidden="1"/>
    </xf>
    <xf numFmtId="165" fontId="11" fillId="0" borderId="0" xfId="5" applyNumberFormat="1" applyFont="1" applyBorder="1" applyProtection="1">
      <protection hidden="1"/>
    </xf>
    <xf numFmtId="165" fontId="11" fillId="0" borderId="4" xfId="5" applyNumberFormat="1" applyFont="1" applyFill="1" applyBorder="1" applyProtection="1">
      <protection hidden="1"/>
    </xf>
    <xf numFmtId="165" fontId="11" fillId="0" borderId="4" xfId="5" applyNumberFormat="1" applyFont="1" applyBorder="1" applyProtection="1">
      <protection hidden="1"/>
    </xf>
    <xf numFmtId="0" fontId="7" fillId="0" borderId="4" xfId="0" applyFont="1" applyBorder="1" applyProtection="1">
      <protection hidden="1"/>
    </xf>
    <xf numFmtId="166" fontId="6" fillId="0" borderId="5" xfId="1" applyNumberFormat="1" applyFont="1" applyBorder="1" applyProtection="1">
      <protection hidden="1"/>
    </xf>
    <xf numFmtId="165" fontId="8" fillId="0" borderId="0" xfId="5" applyNumberFormat="1" applyFont="1" applyProtection="1">
      <protection hidden="1"/>
    </xf>
    <xf numFmtId="167" fontId="8" fillId="0" borderId="4" xfId="5" applyNumberFormat="1" applyFont="1" applyBorder="1" applyProtection="1">
      <protection hidden="1"/>
    </xf>
    <xf numFmtId="166" fontId="7" fillId="0" borderId="6" xfId="1" applyNumberFormat="1" applyFont="1" applyBorder="1" applyProtection="1">
      <protection hidden="1"/>
    </xf>
    <xf numFmtId="166" fontId="6" fillId="0" borderId="7" xfId="1" applyNumberFormat="1" applyFont="1" applyBorder="1" applyProtection="1">
      <protection hidden="1"/>
    </xf>
    <xf numFmtId="0" fontId="8" fillId="0" borderId="0" xfId="0" applyFont="1" applyProtection="1">
      <protection hidden="1"/>
    </xf>
    <xf numFmtId="167" fontId="8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NumberFormat="1" applyFont="1" applyProtection="1">
      <protection hidden="1"/>
    </xf>
    <xf numFmtId="0" fontId="7" fillId="0" borderId="6" xfId="0" applyFont="1" applyBorder="1" applyProtection="1">
      <protection hidden="1"/>
    </xf>
    <xf numFmtId="0" fontId="13" fillId="0" borderId="0" xfId="3" applyFont="1" applyAlignment="1" applyProtection="1">
      <alignment horizontal="right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6" fillId="0" borderId="3" xfId="0" applyFont="1" applyBorder="1" applyProtection="1">
      <protection hidden="1"/>
    </xf>
    <xf numFmtId="0" fontId="14" fillId="0" borderId="0" xfId="0" applyNumberFormat="1" applyFont="1" applyProtection="1">
      <protection hidden="1"/>
    </xf>
    <xf numFmtId="166" fontId="14" fillId="0" borderId="4" xfId="1" applyNumberFormat="1" applyFont="1" applyBorder="1" applyProtection="1">
      <protection hidden="1"/>
    </xf>
    <xf numFmtId="0" fontId="14" fillId="0" borderId="0" xfId="0" applyFont="1" applyProtection="1">
      <protection hidden="1"/>
    </xf>
    <xf numFmtId="166" fontId="12" fillId="0" borderId="0" xfId="1" applyNumberFormat="1" applyFont="1" applyProtection="1">
      <protection hidden="1"/>
    </xf>
    <xf numFmtId="166" fontId="8" fillId="0" borderId="0" xfId="1" applyNumberFormat="1" applyFont="1" applyProtection="1">
      <protection hidden="1"/>
    </xf>
    <xf numFmtId="166" fontId="7" fillId="0" borderId="0" xfId="0" applyNumberFormat="1" applyFont="1" applyProtection="1">
      <protection hidden="1"/>
    </xf>
    <xf numFmtId="166" fontId="6" fillId="3" borderId="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4" xfId="0" applyNumberFormat="1" applyFont="1" applyBorder="1" applyProtection="1">
      <protection hidden="1"/>
    </xf>
    <xf numFmtId="166" fontId="7" fillId="0" borderId="8" xfId="1" applyNumberFormat="1" applyFont="1" applyBorder="1" applyProtection="1">
      <protection hidden="1"/>
    </xf>
    <xf numFmtId="166" fontId="8" fillId="0" borderId="4" xfId="1" applyNumberFormat="1" applyFont="1" applyBorder="1" applyProtection="1">
      <protection hidden="1"/>
    </xf>
    <xf numFmtId="166" fontId="8" fillId="0" borderId="5" xfId="1" applyNumberFormat="1" applyFont="1" applyBorder="1" applyProtection="1">
      <protection hidden="1"/>
    </xf>
    <xf numFmtId="0" fontId="8" fillId="0" borderId="0" xfId="1" applyNumberFormat="1" applyFont="1" applyProtection="1">
      <protection hidden="1"/>
    </xf>
    <xf numFmtId="165" fontId="7" fillId="0" borderId="0" xfId="5" applyNumberFormat="1" applyFont="1" applyFill="1" applyBorder="1" applyProtection="1">
      <protection hidden="1"/>
    </xf>
    <xf numFmtId="168" fontId="7" fillId="0" borderId="0" xfId="1" applyNumberFormat="1" applyFont="1" applyFill="1" applyBorder="1" applyProtection="1">
      <protection hidden="1"/>
    </xf>
    <xf numFmtId="168" fontId="7" fillId="3" borderId="2" xfId="1" applyNumberFormat="1" applyFont="1" applyFill="1" applyBorder="1" applyAlignment="1" applyProtection="1">
      <alignment horizontal="right"/>
      <protection hidden="1"/>
    </xf>
    <xf numFmtId="168" fontId="7" fillId="0" borderId="0" xfId="1" applyNumberFormat="1" applyFont="1" applyFill="1" applyBorder="1" applyAlignment="1" applyProtection="1">
      <alignment horizontal="right"/>
      <protection hidden="1"/>
    </xf>
    <xf numFmtId="166" fontId="14" fillId="0" borderId="0" xfId="1" applyNumberFormat="1" applyFont="1" applyProtection="1">
      <protection hidden="1"/>
    </xf>
    <xf numFmtId="166" fontId="14" fillId="0" borderId="0" xfId="1" applyNumberFormat="1" applyFont="1" applyAlignment="1" applyProtection="1">
      <alignment horizontal="right"/>
      <protection hidden="1"/>
    </xf>
    <xf numFmtId="166" fontId="7" fillId="0" borderId="0" xfId="1" applyNumberFormat="1" applyFont="1" applyFill="1" applyBorder="1" applyAlignment="1" applyProtection="1">
      <alignment horizontal="right"/>
      <protection hidden="1"/>
    </xf>
    <xf numFmtId="14" fontId="7" fillId="2" borderId="9" xfId="1" applyNumberFormat="1" applyFont="1" applyFill="1" applyBorder="1" applyAlignment="1" applyProtection="1">
      <alignment horizontal="center"/>
      <protection hidden="1"/>
    </xf>
    <xf numFmtId="166" fontId="7" fillId="0" borderId="3" xfId="0" applyNumberFormat="1" applyFont="1" applyBorder="1" applyProtection="1">
      <protection hidden="1"/>
    </xf>
    <xf numFmtId="166" fontId="8" fillId="0" borderId="4" xfId="0" applyNumberFormat="1" applyFont="1" applyBorder="1" applyProtection="1">
      <protection hidden="1"/>
    </xf>
    <xf numFmtId="14" fontId="7" fillId="0" borderId="0" xfId="0" applyNumberFormat="1" applyFont="1" applyAlignment="1" applyProtection="1">
      <alignment vertical="center" wrapText="1"/>
      <protection hidden="1"/>
    </xf>
    <xf numFmtId="14" fontId="7" fillId="3" borderId="2" xfId="0" applyNumberFormat="1" applyFont="1" applyFill="1" applyBorder="1" applyAlignment="1" applyProtection="1">
      <alignment vertical="center" wrapText="1"/>
      <protection hidden="1"/>
    </xf>
    <xf numFmtId="14" fontId="6" fillId="3" borderId="2" xfId="1" applyNumberFormat="1" applyFont="1" applyFill="1" applyBorder="1" applyAlignment="1" applyProtection="1">
      <alignment horizontal="center" vertical="center" wrapText="1"/>
      <protection hidden="1"/>
    </xf>
    <xf numFmtId="14" fontId="9" fillId="4" borderId="2" xfId="1" applyNumberFormat="1" applyFont="1" applyFill="1" applyBorder="1" applyAlignment="1" applyProtection="1">
      <alignment horizontal="center" vertical="center" wrapText="1"/>
      <protection hidden="1"/>
    </xf>
    <xf numFmtId="14" fontId="14" fillId="0" borderId="0" xfId="0" applyNumberFormat="1" applyFont="1" applyAlignment="1" applyProtection="1">
      <alignment horizontal="left"/>
      <protection hidden="1"/>
    </xf>
    <xf numFmtId="166" fontId="7" fillId="0" borderId="0" xfId="1" applyNumberFormat="1" applyFont="1" applyAlignment="1" applyProtection="1">
      <alignment vertical="center" wrapText="1"/>
      <protection hidden="1"/>
    </xf>
    <xf numFmtId="166" fontId="6" fillId="0" borderId="0" xfId="1" applyNumberFormat="1" applyFont="1" applyAlignment="1" applyProtection="1">
      <alignment horizontal="center"/>
      <protection hidden="1"/>
    </xf>
    <xf numFmtId="166" fontId="7" fillId="0" borderId="0" xfId="1" applyNumberFormat="1" applyFont="1" applyAlignment="1" applyProtection="1">
      <alignment horizontal="center"/>
      <protection hidden="1"/>
    </xf>
    <xf numFmtId="14" fontId="10" fillId="0" borderId="0" xfId="0" applyNumberFormat="1" applyFont="1" applyAlignment="1" applyProtection="1">
      <alignment horizontal="center"/>
      <protection hidden="1"/>
    </xf>
    <xf numFmtId="14" fontId="15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14" fillId="0" borderId="0" xfId="0" applyNumberFormat="1" applyFont="1" applyAlignment="1" applyProtection="1">
      <alignment horizontal="center"/>
      <protection hidden="1"/>
    </xf>
    <xf numFmtId="14" fontId="4" fillId="0" borderId="0" xfId="0" applyNumberFormat="1" applyFont="1" applyAlignment="1" applyProtection="1">
      <alignment horizontal="left"/>
      <protection hidden="1"/>
    </xf>
    <xf numFmtId="14" fontId="8" fillId="0" borderId="0" xfId="0" applyNumberFormat="1" applyFont="1" applyAlignment="1" applyProtection="1">
      <alignment horizontal="left"/>
      <protection hidden="1"/>
    </xf>
    <xf numFmtId="14" fontId="14" fillId="0" borderId="0" xfId="0" applyNumberFormat="1" applyFont="1" applyFill="1" applyBorder="1" applyAlignment="1" applyProtection="1">
      <alignment horizontal="left"/>
      <protection hidden="1"/>
    </xf>
    <xf numFmtId="14" fontId="7" fillId="0" borderId="0" xfId="0" applyNumberFormat="1" applyFont="1" applyAlignment="1" applyProtection="1">
      <alignment horizontal="left"/>
      <protection hidden="1"/>
    </xf>
    <xf numFmtId="14" fontId="15" fillId="3" borderId="2" xfId="0" applyNumberFormat="1" applyFont="1" applyFill="1" applyBorder="1" applyAlignment="1" applyProtection="1">
      <alignment horizontal="left" vertical="center" wrapText="1"/>
      <protection hidden="1"/>
    </xf>
    <xf numFmtId="3" fontId="7" fillId="0" borderId="0" xfId="1" applyNumberFormat="1" applyFont="1" applyAlignment="1" applyProtection="1">
      <alignment horizontal="center"/>
      <protection hidden="1"/>
    </xf>
    <xf numFmtId="3" fontId="6" fillId="3" borderId="2" xfId="1" applyNumberFormat="1" applyFont="1" applyFill="1" applyBorder="1" applyAlignment="1" applyProtection="1">
      <alignment horizontal="center" vertical="center" wrapText="1"/>
      <protection hidden="1"/>
    </xf>
    <xf numFmtId="3" fontId="14" fillId="0" borderId="0" xfId="1" applyNumberFormat="1" applyFont="1" applyAlignment="1" applyProtection="1">
      <alignment horizontal="center"/>
      <protection hidden="1"/>
    </xf>
    <xf numFmtId="170" fontId="7" fillId="0" borderId="4" xfId="1" applyNumberFormat="1" applyFont="1" applyBorder="1" applyProtection="1">
      <protection hidden="1"/>
    </xf>
    <xf numFmtId="166" fontId="7" fillId="5" borderId="2" xfId="1" applyNumberFormat="1" applyFont="1" applyFill="1" applyBorder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NumberFormat="1" applyFont="1" applyAlignment="1" applyProtection="1">
      <alignment horizontal="center"/>
      <protection hidden="1"/>
    </xf>
    <xf numFmtId="166" fontId="16" fillId="0" borderId="0" xfId="1" applyNumberFormat="1" applyFont="1" applyAlignment="1" applyProtection="1">
      <alignment horizontal="center"/>
      <protection hidden="1"/>
    </xf>
    <xf numFmtId="0" fontId="17" fillId="0" borderId="0" xfId="0" applyNumberFormat="1" applyFont="1" applyProtection="1">
      <protection hidden="1"/>
    </xf>
    <xf numFmtId="166" fontId="16" fillId="0" borderId="0" xfId="0" applyNumberFormat="1" applyFont="1" applyAlignment="1" applyProtection="1">
      <alignment horizontal="center"/>
      <protection hidden="1"/>
    </xf>
    <xf numFmtId="166" fontId="16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164" fontId="0" fillId="0" borderId="0" xfId="1" applyFont="1" applyProtection="1">
      <protection hidden="1"/>
    </xf>
    <xf numFmtId="0" fontId="7" fillId="0" borderId="0" xfId="0" applyFont="1" applyFill="1" applyProtection="1">
      <protection hidden="1"/>
    </xf>
    <xf numFmtId="0" fontId="7" fillId="2" borderId="1" xfId="0" applyFont="1" applyFill="1" applyBorder="1" applyProtection="1">
      <protection hidden="1"/>
    </xf>
    <xf numFmtId="166" fontId="7" fillId="0" borderId="10" xfId="1" applyNumberFormat="1" applyFont="1" applyBorder="1" applyProtection="1">
      <protection hidden="1"/>
    </xf>
    <xf numFmtId="166" fontId="6" fillId="0" borderId="11" xfId="1" applyNumberFormat="1" applyFont="1" applyFill="1" applyBorder="1" applyProtection="1">
      <protection hidden="1"/>
    </xf>
    <xf numFmtId="170" fontId="7" fillId="0" borderId="10" xfId="1" applyNumberFormat="1" applyFont="1" applyBorder="1" applyProtection="1">
      <protection hidden="1"/>
    </xf>
    <xf numFmtId="166" fontId="6" fillId="0" borderId="12" xfId="1" applyNumberFormat="1" applyFont="1" applyBorder="1" applyProtection="1">
      <protection hidden="1"/>
    </xf>
    <xf numFmtId="166" fontId="14" fillId="0" borderId="10" xfId="1" applyNumberFormat="1" applyFont="1" applyBorder="1" applyProtection="1">
      <protection hidden="1"/>
    </xf>
    <xf numFmtId="166" fontId="7" fillId="5" borderId="27" xfId="1" applyNumberFormat="1" applyFont="1" applyFill="1" applyBorder="1" applyProtection="1">
      <protection hidden="1"/>
    </xf>
    <xf numFmtId="0" fontId="4" fillId="0" borderId="0" xfId="4" applyNumberFormat="1" applyFont="1" applyProtection="1">
      <protection hidden="1"/>
    </xf>
    <xf numFmtId="0" fontId="6" fillId="0" borderId="0" xfId="4" applyNumberFormat="1" applyFont="1" applyFill="1" applyAlignment="1" applyProtection="1">
      <alignment horizontal="center"/>
      <protection hidden="1"/>
    </xf>
    <xf numFmtId="0" fontId="7" fillId="0" borderId="0" xfId="6" applyNumberFormat="1" applyFont="1" applyAlignment="1" applyProtection="1">
      <alignment horizontal="left" indent="1"/>
      <protection hidden="1"/>
    </xf>
    <xf numFmtId="0" fontId="7" fillId="0" borderId="0" xfId="4" applyFont="1" applyProtection="1">
      <protection hidden="1"/>
    </xf>
    <xf numFmtId="0" fontId="8" fillId="0" borderId="0" xfId="4" applyNumberFormat="1" applyFont="1" applyFill="1" applyAlignment="1" applyProtection="1">
      <alignment horizontal="left"/>
      <protection hidden="1"/>
    </xf>
    <xf numFmtId="0" fontId="8" fillId="0" borderId="0" xfId="4" applyNumberFormat="1" applyFont="1" applyFill="1" applyAlignment="1" applyProtection="1">
      <alignment horizontal="center"/>
      <protection hidden="1"/>
    </xf>
    <xf numFmtId="166" fontId="7" fillId="0" borderId="0" xfId="2" applyNumberFormat="1" applyFont="1" applyProtection="1">
      <protection hidden="1"/>
    </xf>
    <xf numFmtId="167" fontId="7" fillId="0" borderId="0" xfId="6" applyNumberFormat="1" applyFont="1" applyProtection="1">
      <protection hidden="1"/>
    </xf>
    <xf numFmtId="0" fontId="11" fillId="0" borderId="0" xfId="4" applyFont="1" applyAlignment="1" applyProtection="1">
      <alignment horizontal="center"/>
      <protection hidden="1"/>
    </xf>
    <xf numFmtId="167" fontId="18" fillId="0" borderId="0" xfId="6" applyNumberFormat="1" applyFont="1" applyAlignment="1" applyProtection="1">
      <alignment horizontal="center"/>
      <protection hidden="1"/>
    </xf>
    <xf numFmtId="0" fontId="20" fillId="0" borderId="0" xfId="4" applyNumberFormat="1" applyFont="1" applyAlignment="1" applyProtection="1">
      <alignment vertical="center"/>
      <protection hidden="1"/>
    </xf>
    <xf numFmtId="0" fontId="7" fillId="0" borderId="0" xfId="4" applyFont="1" applyAlignment="1" applyProtection="1">
      <alignment horizontal="center" vertical="center"/>
      <protection hidden="1"/>
    </xf>
    <xf numFmtId="0" fontId="7" fillId="0" borderId="0" xfId="4" applyFont="1" applyAlignment="1" applyProtection="1">
      <alignment vertical="center"/>
      <protection hidden="1"/>
    </xf>
    <xf numFmtId="166" fontId="6" fillId="3" borderId="13" xfId="2" applyNumberFormat="1" applyFont="1" applyFill="1" applyBorder="1" applyAlignment="1" applyProtection="1">
      <alignment horizontal="center" vertical="center" wrapText="1"/>
      <protection hidden="1"/>
    </xf>
    <xf numFmtId="166" fontId="6" fillId="3" borderId="2" xfId="2" applyNumberFormat="1" applyFont="1" applyFill="1" applyBorder="1" applyAlignment="1" applyProtection="1">
      <alignment horizontal="center" vertical="center" wrapText="1"/>
      <protection hidden="1"/>
    </xf>
    <xf numFmtId="167" fontId="6" fillId="3" borderId="2" xfId="6" applyNumberFormat="1" applyFont="1" applyFill="1" applyBorder="1" applyAlignment="1" applyProtection="1">
      <alignment horizontal="center" vertical="center" wrapText="1"/>
      <protection hidden="1"/>
    </xf>
    <xf numFmtId="169" fontId="6" fillId="3" borderId="13" xfId="2" applyNumberFormat="1" applyFont="1" applyFill="1" applyBorder="1" applyAlignment="1" applyProtection="1">
      <alignment horizontal="center" vertical="center" wrapText="1"/>
      <protection hidden="1"/>
    </xf>
    <xf numFmtId="169" fontId="6" fillId="3" borderId="2" xfId="2" applyNumberFormat="1" applyFont="1" applyFill="1" applyBorder="1" applyAlignment="1" applyProtection="1">
      <alignment horizontal="center" vertical="center" wrapText="1"/>
      <protection hidden="1"/>
    </xf>
    <xf numFmtId="169" fontId="6" fillId="0" borderId="0" xfId="4" applyNumberFormat="1" applyFont="1" applyAlignment="1" applyProtection="1">
      <alignment vertical="center" wrapText="1"/>
      <protection hidden="1"/>
    </xf>
    <xf numFmtId="0" fontId="6" fillId="0" borderId="0" xfId="4" applyNumberFormat="1" applyFont="1" applyProtection="1">
      <protection hidden="1"/>
    </xf>
    <xf numFmtId="0" fontId="6" fillId="0" borderId="0" xfId="4" applyFont="1" applyAlignment="1" applyProtection="1">
      <alignment horizontal="center"/>
      <protection hidden="1"/>
    </xf>
    <xf numFmtId="166" fontId="6" fillId="0" borderId="14" xfId="2" applyNumberFormat="1" applyFont="1" applyBorder="1" applyProtection="1">
      <protection hidden="1"/>
    </xf>
    <xf numFmtId="166" fontId="6" fillId="0" borderId="15" xfId="2" applyNumberFormat="1" applyFont="1" applyBorder="1" applyProtection="1">
      <protection hidden="1"/>
    </xf>
    <xf numFmtId="166" fontId="6" fillId="0" borderId="0" xfId="2" applyNumberFormat="1" applyFont="1" applyProtection="1">
      <protection hidden="1"/>
    </xf>
    <xf numFmtId="167" fontId="6" fillId="0" borderId="16" xfId="6" applyNumberFormat="1" applyFont="1" applyBorder="1" applyProtection="1">
      <protection hidden="1"/>
    </xf>
    <xf numFmtId="0" fontId="6" fillId="0" borderId="0" xfId="4" applyFont="1" applyProtection="1">
      <protection hidden="1"/>
    </xf>
    <xf numFmtId="0" fontId="7" fillId="0" borderId="0" xfId="4" applyNumberFormat="1" applyFont="1" applyProtection="1">
      <protection hidden="1"/>
    </xf>
    <xf numFmtId="0" fontId="7" fillId="0" borderId="0" xfId="4" applyFont="1" applyAlignment="1" applyProtection="1">
      <alignment horizontal="center"/>
      <protection hidden="1"/>
    </xf>
    <xf numFmtId="166" fontId="7" fillId="0" borderId="17" xfId="2" applyNumberFormat="1" applyFont="1" applyBorder="1" applyProtection="1">
      <protection hidden="1"/>
    </xf>
    <xf numFmtId="166" fontId="7" fillId="0" borderId="0" xfId="2" applyNumberFormat="1" applyFont="1" applyBorder="1" applyProtection="1">
      <protection hidden="1"/>
    </xf>
    <xf numFmtId="167" fontId="7" fillId="0" borderId="18" xfId="6" applyNumberFormat="1" applyFont="1" applyBorder="1" applyProtection="1">
      <protection hidden="1"/>
    </xf>
    <xf numFmtId="166" fontId="6" fillId="0" borderId="17" xfId="2" applyNumberFormat="1" applyFont="1" applyBorder="1" applyProtection="1">
      <protection hidden="1"/>
    </xf>
    <xf numFmtId="166" fontId="6" fillId="0" borderId="0" xfId="2" applyNumberFormat="1" applyFont="1" applyBorder="1" applyProtection="1">
      <protection hidden="1"/>
    </xf>
    <xf numFmtId="167" fontId="6" fillId="0" borderId="18" xfId="6" applyNumberFormat="1" applyFont="1" applyBorder="1" applyProtection="1">
      <protection hidden="1"/>
    </xf>
    <xf numFmtId="165" fontId="11" fillId="0" borderId="0" xfId="6" applyNumberFormat="1" applyFont="1" applyProtection="1">
      <protection hidden="1"/>
    </xf>
    <xf numFmtId="165" fontId="11" fillId="0" borderId="0" xfId="6" applyNumberFormat="1" applyFont="1" applyAlignment="1" applyProtection="1">
      <alignment horizontal="center"/>
      <protection hidden="1"/>
    </xf>
    <xf numFmtId="165" fontId="11" fillId="0" borderId="17" xfId="6" applyNumberFormat="1" applyFont="1" applyBorder="1" applyProtection="1">
      <protection hidden="1"/>
    </xf>
    <xf numFmtId="165" fontId="11" fillId="0" borderId="0" xfId="6" applyNumberFormat="1" applyFont="1" applyBorder="1" applyProtection="1">
      <protection hidden="1"/>
    </xf>
    <xf numFmtId="167" fontId="11" fillId="0" borderId="0" xfId="6" applyNumberFormat="1" applyFont="1" applyBorder="1" applyProtection="1">
      <protection hidden="1"/>
    </xf>
    <xf numFmtId="167" fontId="11" fillId="0" borderId="18" xfId="6" applyNumberFormat="1" applyFont="1" applyBorder="1" applyProtection="1">
      <protection hidden="1"/>
    </xf>
    <xf numFmtId="0" fontId="7" fillId="0" borderId="0" xfId="4" applyFont="1" applyBorder="1" applyProtection="1">
      <protection hidden="1"/>
    </xf>
    <xf numFmtId="0" fontId="14" fillId="0" borderId="0" xfId="2" applyNumberFormat="1" applyFont="1" applyProtection="1">
      <protection hidden="1"/>
    </xf>
    <xf numFmtId="0" fontId="14" fillId="0" borderId="0" xfId="4" applyFont="1" applyAlignment="1" applyProtection="1">
      <alignment horizontal="center"/>
      <protection hidden="1"/>
    </xf>
    <xf numFmtId="166" fontId="14" fillId="0" borderId="17" xfId="2" applyNumberFormat="1" applyFont="1" applyBorder="1" applyProtection="1">
      <protection hidden="1"/>
    </xf>
    <xf numFmtId="166" fontId="14" fillId="0" borderId="0" xfId="2" applyNumberFormat="1" applyFont="1" applyBorder="1" applyProtection="1">
      <protection hidden="1"/>
    </xf>
    <xf numFmtId="166" fontId="14" fillId="0" borderId="0" xfId="2" applyNumberFormat="1" applyFont="1" applyProtection="1">
      <protection hidden="1"/>
    </xf>
    <xf numFmtId="167" fontId="14" fillId="0" borderId="18" xfId="6" applyNumberFormat="1" applyFont="1" applyBorder="1" applyProtection="1">
      <protection hidden="1"/>
    </xf>
    <xf numFmtId="0" fontId="14" fillId="0" borderId="0" xfId="4" applyFont="1" applyProtection="1">
      <protection hidden="1"/>
    </xf>
    <xf numFmtId="0" fontId="7" fillId="0" borderId="0" xfId="2" applyNumberFormat="1" applyFont="1" applyBorder="1" applyProtection="1">
      <protection hidden="1"/>
    </xf>
    <xf numFmtId="164" fontId="7" fillId="0" borderId="0" xfId="2" applyFont="1" applyBorder="1" applyAlignment="1" applyProtection="1">
      <alignment horizontal="center"/>
      <protection hidden="1"/>
    </xf>
    <xf numFmtId="164" fontId="7" fillId="0" borderId="0" xfId="2" applyFont="1" applyProtection="1">
      <protection hidden="1"/>
    </xf>
    <xf numFmtId="166" fontId="7" fillId="0" borderId="19" xfId="2" applyNumberFormat="1" applyFont="1" applyBorder="1" applyProtection="1">
      <protection hidden="1"/>
    </xf>
    <xf numFmtId="166" fontId="7" fillId="0" borderId="20" xfId="2" applyNumberFormat="1" applyFont="1" applyBorder="1" applyProtection="1">
      <protection hidden="1"/>
    </xf>
    <xf numFmtId="167" fontId="7" fillId="0" borderId="21" xfId="6" applyNumberFormat="1" applyFont="1" applyBorder="1" applyProtection="1">
      <protection hidden="1"/>
    </xf>
    <xf numFmtId="0" fontId="7" fillId="0" borderId="0" xfId="4" applyNumberFormat="1" applyFont="1" applyBorder="1" applyProtection="1">
      <protection hidden="1"/>
    </xf>
    <xf numFmtId="0" fontId="7" fillId="0" borderId="0" xfId="4" applyFont="1" applyBorder="1" applyAlignment="1" applyProtection="1">
      <alignment horizontal="center"/>
      <protection hidden="1"/>
    </xf>
    <xf numFmtId="167" fontId="7" fillId="0" borderId="0" xfId="6" applyNumberFormat="1" applyFont="1" applyBorder="1" applyProtection="1">
      <protection hidden="1"/>
    </xf>
    <xf numFmtId="0" fontId="7" fillId="0" borderId="0" xfId="4" applyNumberFormat="1" applyFont="1" applyAlignment="1" applyProtection="1">
      <alignment vertical="center"/>
      <protection hidden="1"/>
    </xf>
    <xf numFmtId="0" fontId="7" fillId="0" borderId="0" xfId="2" applyNumberFormat="1" applyFont="1" applyProtection="1">
      <protection hidden="1"/>
    </xf>
    <xf numFmtId="0" fontId="8" fillId="0" borderId="0" xfId="4" applyFont="1" applyProtection="1">
      <protection hidden="1"/>
    </xf>
    <xf numFmtId="0" fontId="8" fillId="0" borderId="0" xfId="4" applyNumberFormat="1" applyFont="1" applyProtection="1">
      <protection hidden="1"/>
    </xf>
    <xf numFmtId="0" fontId="8" fillId="0" borderId="0" xfId="4" applyFont="1" applyAlignment="1" applyProtection="1">
      <alignment horizontal="center"/>
      <protection hidden="1"/>
    </xf>
    <xf numFmtId="166" fontId="11" fillId="0" borderId="14" xfId="2" applyNumberFormat="1" applyFont="1" applyBorder="1" applyProtection="1">
      <protection hidden="1"/>
    </xf>
    <xf numFmtId="166" fontId="11" fillId="0" borderId="15" xfId="2" applyNumberFormat="1" applyFont="1" applyBorder="1" applyProtection="1">
      <protection hidden="1"/>
    </xf>
    <xf numFmtId="166" fontId="8" fillId="0" borderId="15" xfId="2" applyNumberFormat="1" applyFont="1" applyBorder="1" applyProtection="1">
      <protection hidden="1"/>
    </xf>
    <xf numFmtId="167" fontId="8" fillId="0" borderId="16" xfId="6" applyNumberFormat="1" applyFont="1" applyBorder="1" applyProtection="1">
      <protection hidden="1"/>
    </xf>
    <xf numFmtId="166" fontId="11" fillId="0" borderId="22" xfId="2" applyNumberFormat="1" applyFont="1" applyBorder="1" applyProtection="1">
      <protection hidden="1"/>
    </xf>
    <xf numFmtId="166" fontId="11" fillId="0" borderId="23" xfId="2" applyNumberFormat="1" applyFont="1" applyBorder="1" applyProtection="1">
      <protection hidden="1"/>
    </xf>
    <xf numFmtId="166" fontId="8" fillId="0" borderId="23" xfId="2" applyNumberFormat="1" applyFont="1" applyBorder="1" applyProtection="1">
      <protection hidden="1"/>
    </xf>
    <xf numFmtId="167" fontId="8" fillId="0" borderId="13" xfId="6" applyNumberFormat="1" applyFont="1" applyBorder="1" applyProtection="1">
      <protection hidden="1"/>
    </xf>
    <xf numFmtId="166" fontId="15" fillId="0" borderId="17" xfId="2" applyNumberFormat="1" applyFont="1" applyBorder="1" applyProtection="1">
      <protection hidden="1"/>
    </xf>
    <xf numFmtId="166" fontId="15" fillId="0" borderId="0" xfId="2" applyNumberFormat="1" applyFont="1" applyBorder="1" applyProtection="1">
      <protection hidden="1"/>
    </xf>
    <xf numFmtId="0" fontId="6" fillId="0" borderId="0" xfId="4" applyNumberFormat="1" applyFont="1" applyBorder="1" applyProtection="1">
      <protection hidden="1"/>
    </xf>
    <xf numFmtId="0" fontId="6" fillId="0" borderId="0" xfId="4" applyFont="1" applyBorder="1" applyAlignment="1" applyProtection="1">
      <alignment horizontal="center"/>
      <protection hidden="1"/>
    </xf>
    <xf numFmtId="0" fontId="6" fillId="0" borderId="0" xfId="4" applyFont="1" applyBorder="1" applyProtection="1">
      <protection hidden="1"/>
    </xf>
    <xf numFmtId="0" fontId="8" fillId="0" borderId="0" xfId="2" applyNumberFormat="1" applyFont="1" applyProtection="1">
      <protection hidden="1"/>
    </xf>
    <xf numFmtId="166" fontId="8" fillId="0" borderId="22" xfId="2" applyNumberFormat="1" applyFont="1" applyBorder="1" applyProtection="1">
      <protection hidden="1"/>
    </xf>
    <xf numFmtId="0" fontId="14" fillId="0" borderId="0" xfId="4" applyNumberFormat="1" applyFont="1" applyAlignment="1" applyProtection="1">
      <alignment horizontal="center"/>
      <protection hidden="1"/>
    </xf>
    <xf numFmtId="166" fontId="6" fillId="0" borderId="24" xfId="2" applyNumberFormat="1" applyFont="1" applyBorder="1" applyProtection="1">
      <protection hidden="1"/>
    </xf>
    <xf numFmtId="166" fontId="6" fillId="0" borderId="25" xfId="2" applyNumberFormat="1" applyFont="1" applyBorder="1" applyProtection="1">
      <protection hidden="1"/>
    </xf>
    <xf numFmtId="167" fontId="6" fillId="0" borderId="26" xfId="6" applyNumberFormat="1" applyFont="1" applyBorder="1" applyProtection="1">
      <protection hidden="1"/>
    </xf>
    <xf numFmtId="164" fontId="7" fillId="0" borderId="0" xfId="2" applyFont="1" applyBorder="1" applyProtection="1">
      <protection hidden="1"/>
    </xf>
    <xf numFmtId="0" fontId="6" fillId="0" borderId="0" xfId="4" applyNumberFormat="1" applyFont="1" applyFill="1" applyProtection="1">
      <protection hidden="1"/>
    </xf>
    <xf numFmtId="0" fontId="7" fillId="0" borderId="0" xfId="2" applyNumberFormat="1" applyFont="1" applyAlignment="1" applyProtection="1">
      <alignment horizontal="center"/>
      <protection hidden="1"/>
    </xf>
    <xf numFmtId="0" fontId="6" fillId="0" borderId="0" xfId="2" applyNumberFormat="1" applyFont="1" applyProtection="1">
      <protection hidden="1"/>
    </xf>
    <xf numFmtId="0" fontId="6" fillId="0" borderId="0" xfId="2" applyNumberFormat="1" applyFont="1" applyAlignment="1" applyProtection="1">
      <alignment horizontal="center"/>
      <protection hidden="1"/>
    </xf>
    <xf numFmtId="0" fontId="7" fillId="0" borderId="20" xfId="4" applyNumberFormat="1" applyFont="1" applyBorder="1" applyProtection="1">
      <protection hidden="1"/>
    </xf>
    <xf numFmtId="0" fontId="7" fillId="0" borderId="20" xfId="4" applyFont="1" applyBorder="1" applyAlignment="1" applyProtection="1">
      <alignment horizontal="center"/>
      <protection hidden="1"/>
    </xf>
    <xf numFmtId="0" fontId="19" fillId="0" borderId="0" xfId="4" applyNumberFormat="1" applyFont="1" applyProtection="1">
      <protection hidden="1"/>
    </xf>
    <xf numFmtId="0" fontId="19" fillId="0" borderId="0" xfId="4" applyFont="1" applyAlignment="1" applyProtection="1">
      <alignment horizontal="center"/>
      <protection hidden="1"/>
    </xf>
    <xf numFmtId="166" fontId="19" fillId="0" borderId="0" xfId="2" applyNumberFormat="1" applyFont="1" applyAlignment="1" applyProtection="1">
      <alignment horizontal="center"/>
      <protection hidden="1"/>
    </xf>
    <xf numFmtId="167" fontId="19" fillId="0" borderId="0" xfId="6" applyNumberFormat="1" applyFont="1" applyProtection="1">
      <protection hidden="1"/>
    </xf>
    <xf numFmtId="0" fontId="19" fillId="0" borderId="0" xfId="4" applyFont="1" applyProtection="1">
      <protection hidden="1"/>
    </xf>
    <xf numFmtId="0" fontId="12" fillId="0" borderId="0" xfId="4" applyNumberFormat="1" applyFont="1" applyProtection="1">
      <protection hidden="1"/>
    </xf>
    <xf numFmtId="0" fontId="12" fillId="0" borderId="0" xfId="4" applyFont="1" applyAlignment="1" applyProtection="1">
      <alignment horizontal="center"/>
      <protection hidden="1"/>
    </xf>
    <xf numFmtId="166" fontId="12" fillId="0" borderId="0" xfId="2" applyNumberFormat="1" applyFont="1" applyAlignment="1" applyProtection="1">
      <alignment horizontal="center"/>
      <protection hidden="1"/>
    </xf>
    <xf numFmtId="167" fontId="12" fillId="0" borderId="0" xfId="6" applyNumberFormat="1" applyFont="1" applyProtection="1">
      <protection hidden="1"/>
    </xf>
    <xf numFmtId="0" fontId="12" fillId="0" borderId="0" xfId="4" applyFont="1" applyProtection="1">
      <protection hidden="1"/>
    </xf>
    <xf numFmtId="14" fontId="6" fillId="6" borderId="2" xfId="4" applyNumberFormat="1" applyFont="1" applyFill="1" applyBorder="1" applyAlignment="1" applyProtection="1">
      <alignment horizontal="center" vertical="center"/>
      <protection hidden="1"/>
    </xf>
    <xf numFmtId="166" fontId="11" fillId="0" borderId="0" xfId="2" applyNumberFormat="1" applyFont="1" applyAlignment="1" applyProtection="1">
      <protection hidden="1"/>
    </xf>
    <xf numFmtId="0" fontId="6" fillId="0" borderId="0" xfId="4" applyNumberFormat="1" applyFont="1" applyAlignment="1" applyProtection="1">
      <alignment horizontal="right" vertical="center" indent="1"/>
      <protection hidden="1"/>
    </xf>
    <xf numFmtId="0" fontId="11" fillId="0" borderId="0" xfId="4" applyFont="1" applyAlignment="1" applyProtection="1">
      <alignment horizontal="right" indent="1"/>
      <protection hidden="1"/>
    </xf>
    <xf numFmtId="0" fontId="21" fillId="0" borderId="0" xfId="4" applyFont="1" applyAlignment="1" applyProtection="1">
      <alignment horizontal="center"/>
      <protection hidden="1"/>
    </xf>
    <xf numFmtId="0" fontId="20" fillId="0" borderId="0" xfId="1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0" fontId="7" fillId="2" borderId="2" xfId="5" applyNumberFormat="1" applyFont="1" applyFill="1" applyBorder="1" applyProtection="1">
      <protection hidden="1"/>
    </xf>
    <xf numFmtId="10" fontId="7" fillId="3" borderId="2" xfId="5" applyNumberFormat="1" applyFont="1" applyFill="1" applyBorder="1" applyAlignment="1" applyProtection="1">
      <alignment horizontal="right"/>
      <protection hidden="1"/>
    </xf>
    <xf numFmtId="0" fontId="7" fillId="6" borderId="22" xfId="1" applyNumberFormat="1" applyFont="1" applyFill="1" applyBorder="1" applyAlignment="1" applyProtection="1">
      <alignment horizontal="left"/>
      <protection hidden="1"/>
    </xf>
    <xf numFmtId="0" fontId="7" fillId="6" borderId="23" xfId="1" applyNumberFormat="1" applyFont="1" applyFill="1" applyBorder="1" applyAlignment="1" applyProtection="1">
      <alignment horizontal="left"/>
      <protection hidden="1"/>
    </xf>
    <xf numFmtId="0" fontId="7" fillId="6" borderId="13" xfId="1" applyNumberFormat="1" applyFont="1" applyFill="1" applyBorder="1" applyAlignment="1" applyProtection="1">
      <alignment horizontal="left"/>
      <protection hidden="1"/>
    </xf>
    <xf numFmtId="169" fontId="6" fillId="3" borderId="22" xfId="4" applyNumberFormat="1" applyFont="1" applyFill="1" applyBorder="1" applyAlignment="1" applyProtection="1">
      <alignment horizontal="left" vertical="center"/>
      <protection hidden="1"/>
    </xf>
    <xf numFmtId="169" fontId="6" fillId="3" borderId="13" xfId="4" applyNumberFormat="1" applyFont="1" applyFill="1" applyBorder="1" applyAlignment="1" applyProtection="1">
      <alignment horizontal="left" vertical="center"/>
      <protection hidden="1"/>
    </xf>
    <xf numFmtId="166" fontId="6" fillId="3" borderId="22" xfId="2" applyNumberFormat="1" applyFont="1" applyFill="1" applyBorder="1" applyAlignment="1" applyProtection="1">
      <alignment horizontal="center" vertical="center"/>
      <protection hidden="1"/>
    </xf>
    <xf numFmtId="166" fontId="6" fillId="3" borderId="23" xfId="2" applyNumberFormat="1" applyFont="1" applyFill="1" applyBorder="1" applyAlignment="1" applyProtection="1">
      <alignment horizontal="center" vertical="center"/>
      <protection hidden="1"/>
    </xf>
    <xf numFmtId="166" fontId="6" fillId="3" borderId="13" xfId="2" applyNumberFormat="1" applyFont="1" applyFill="1" applyBorder="1" applyAlignment="1" applyProtection="1">
      <alignment horizontal="center" vertical="center"/>
      <protection hidden="1"/>
    </xf>
    <xf numFmtId="164" fontId="6" fillId="3" borderId="22" xfId="2" applyFont="1" applyFill="1" applyBorder="1" applyAlignment="1" applyProtection="1">
      <alignment horizontal="center" vertical="center"/>
      <protection hidden="1"/>
    </xf>
    <xf numFmtId="164" fontId="6" fillId="3" borderId="23" xfId="2" applyFont="1" applyFill="1" applyBorder="1" applyAlignment="1" applyProtection="1">
      <alignment horizontal="center" vertical="center"/>
      <protection hidden="1"/>
    </xf>
    <xf numFmtId="164" fontId="6" fillId="3" borderId="13" xfId="2" applyFont="1" applyFill="1" applyBorder="1" applyAlignment="1" applyProtection="1">
      <alignment horizontal="center" vertical="center"/>
      <protection hidden="1"/>
    </xf>
  </cellXfs>
  <cellStyles count="7">
    <cellStyle name="Comma" xfId="1" builtinId="3"/>
    <cellStyle name="Comma 2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Percent 2" xfId="6" xr:uid="{00000000-0005-0000-0000-000006000000}"/>
  </cellStyles>
  <dxfs count="9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42</xdr:col>
      <xdr:colOff>160421</xdr:colOff>
      <xdr:row>3</xdr:row>
      <xdr:rowOff>80210</xdr:rowOff>
    </xdr:from>
    <xdr:to>
      <xdr:col>42</xdr:col>
      <xdr:colOff>232421</xdr:colOff>
      <xdr:row>3</xdr:row>
      <xdr:rowOff>152210</xdr:rowOff>
    </xdr:to>
    <xdr:sp macro="" textlink="">
      <xdr:nvSpPr>
        <xdr:cNvPr id="3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30469974" y="70184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95" workbookViewId="0">
      <pane ySplit="3" topLeftCell="A19" activePane="bottomLeft" state="frozen"/>
      <selection pane="bottomLeft" activeCell="E12" sqref="E12"/>
    </sheetView>
  </sheetViews>
  <sheetFormatPr defaultColWidth="9.1328125" defaultRowHeight="15" customHeight="1" x14ac:dyDescent="0.3"/>
  <cols>
    <col min="1" max="1" width="34.59765625" style="7" customWidth="1"/>
    <col min="2" max="2" width="15.73046875" style="8" customWidth="1"/>
    <col min="3" max="8" width="15.73046875" style="4" customWidth="1"/>
    <col min="9" max="14" width="15.73046875" style="5" customWidth="1"/>
    <col min="15" max="16384" width="9.1328125" style="5"/>
  </cols>
  <sheetData>
    <row r="1" spans="1:8" x14ac:dyDescent="0.4">
      <c r="A1" s="1" t="str">
        <f>$B$4</f>
        <v>Example Trading Limited</v>
      </c>
      <c r="B1" s="3"/>
    </row>
    <row r="2" spans="1:8" ht="15" customHeight="1" x14ac:dyDescent="0.35">
      <c r="A2" s="6" t="s">
        <v>108</v>
      </c>
      <c r="B2" s="3"/>
    </row>
    <row r="4" spans="1:8" ht="15" customHeight="1" x14ac:dyDescent="0.35">
      <c r="A4" s="2" t="s">
        <v>62</v>
      </c>
      <c r="B4" s="210" t="s">
        <v>133</v>
      </c>
      <c r="C4" s="211"/>
      <c r="D4" s="212"/>
    </row>
    <row r="5" spans="1:8" s="11" customFormat="1" ht="15" customHeight="1" x14ac:dyDescent="0.35">
      <c r="A5" s="2" t="s">
        <v>51</v>
      </c>
      <c r="B5" s="63">
        <v>42429</v>
      </c>
      <c r="C5" s="9"/>
      <c r="D5" s="9"/>
      <c r="E5" s="9"/>
      <c r="F5" s="10"/>
      <c r="G5" s="10"/>
      <c r="H5" s="10"/>
    </row>
    <row r="6" spans="1:8" s="11" customFormat="1" ht="15" customHeight="1" x14ac:dyDescent="0.35">
      <c r="A6" s="2" t="s">
        <v>96</v>
      </c>
      <c r="B6" s="94"/>
      <c r="C6" s="9"/>
      <c r="D6" s="9"/>
      <c r="E6" s="9"/>
      <c r="F6" s="10"/>
      <c r="G6" s="10"/>
      <c r="H6" s="10"/>
    </row>
    <row r="7" spans="1:8" s="11" customFormat="1" ht="15" customHeight="1" x14ac:dyDescent="0.35">
      <c r="A7" s="7" t="s">
        <v>97</v>
      </c>
      <c r="B7" s="14">
        <v>13</v>
      </c>
      <c r="C7" s="206">
        <v>1</v>
      </c>
      <c r="D7" s="206">
        <v>0</v>
      </c>
      <c r="E7" s="9"/>
      <c r="F7" s="10"/>
      <c r="G7" s="10"/>
      <c r="H7" s="10"/>
    </row>
    <row r="8" spans="1:8" s="11" customFormat="1" ht="15" customHeight="1" x14ac:dyDescent="0.35">
      <c r="A8" s="7" t="s">
        <v>98</v>
      </c>
      <c r="B8" s="14">
        <v>13</v>
      </c>
      <c r="C8" s="206">
        <f>C7+B7</f>
        <v>14</v>
      </c>
      <c r="D8" s="206">
        <f>SUM(B$7:B7)</f>
        <v>13</v>
      </c>
      <c r="E8" s="9"/>
      <c r="F8" s="10"/>
      <c r="G8" s="10"/>
      <c r="H8" s="10"/>
    </row>
    <row r="9" spans="1:8" s="11" customFormat="1" ht="15" customHeight="1" x14ac:dyDescent="0.35">
      <c r="A9" s="7" t="s">
        <v>99</v>
      </c>
      <c r="B9" s="14">
        <v>13</v>
      </c>
      <c r="C9" s="206">
        <f>C8+B8</f>
        <v>27</v>
      </c>
      <c r="D9" s="206">
        <f>SUM(B$7:B8)</f>
        <v>26</v>
      </c>
      <c r="E9" s="9"/>
      <c r="F9" s="10"/>
      <c r="G9" s="10"/>
      <c r="H9" s="10"/>
    </row>
    <row r="10" spans="1:8" s="11" customFormat="1" ht="15" customHeight="1" x14ac:dyDescent="0.35">
      <c r="A10" s="7" t="s">
        <v>100</v>
      </c>
      <c r="B10" s="86">
        <f>52-SUM($B$7:$B$9)</f>
        <v>13</v>
      </c>
      <c r="C10" s="206">
        <f>C9+B9</f>
        <v>40</v>
      </c>
      <c r="D10" s="206">
        <f>SUM(B$7:B9)</f>
        <v>39</v>
      </c>
      <c r="E10" s="9"/>
      <c r="F10" s="10"/>
      <c r="G10" s="10"/>
      <c r="H10" s="10"/>
    </row>
    <row r="11" spans="1:8" s="11" customFormat="1" ht="15" customHeight="1" x14ac:dyDescent="0.35">
      <c r="A11" s="2" t="s">
        <v>1</v>
      </c>
      <c r="B11" s="3"/>
      <c r="C11" s="9"/>
      <c r="D11" s="9"/>
      <c r="E11" s="9"/>
      <c r="F11" s="10"/>
      <c r="G11" s="10"/>
      <c r="H11" s="10"/>
    </row>
    <row r="12" spans="1:8" ht="15" customHeight="1" x14ac:dyDescent="0.35">
      <c r="A12" s="6" t="s">
        <v>130</v>
      </c>
      <c r="C12" s="12"/>
    </row>
    <row r="13" spans="1:8" ht="15" customHeight="1" x14ac:dyDescent="0.35">
      <c r="A13" s="2" t="s">
        <v>4</v>
      </c>
      <c r="B13" s="3"/>
    </row>
    <row r="14" spans="1:8" ht="15" customHeight="1" x14ac:dyDescent="0.35">
      <c r="A14" s="6" t="s">
        <v>131</v>
      </c>
      <c r="C14" s="13"/>
      <c r="D14" s="13"/>
      <c r="E14" s="13"/>
    </row>
    <row r="15" spans="1:8" ht="15" customHeight="1" x14ac:dyDescent="0.35">
      <c r="A15" s="2" t="s">
        <v>54</v>
      </c>
      <c r="B15" s="3"/>
    </row>
    <row r="16" spans="1:8" ht="15" customHeight="1" x14ac:dyDescent="0.35">
      <c r="A16" s="6" t="s">
        <v>132</v>
      </c>
      <c r="C16" s="12"/>
    </row>
    <row r="17" spans="1:5" ht="15" customHeight="1" x14ac:dyDescent="0.35">
      <c r="A17" s="2" t="s">
        <v>29</v>
      </c>
      <c r="B17" s="3"/>
    </row>
    <row r="18" spans="1:5" ht="15" customHeight="1" x14ac:dyDescent="0.3">
      <c r="A18" s="7" t="s">
        <v>32</v>
      </c>
      <c r="B18" s="14">
        <v>25</v>
      </c>
      <c r="D18" s="12"/>
      <c r="E18" s="12"/>
    </row>
    <row r="19" spans="1:5" ht="15" customHeight="1" x14ac:dyDescent="0.3">
      <c r="A19" s="7" t="s">
        <v>30</v>
      </c>
      <c r="B19" s="14">
        <v>30</v>
      </c>
      <c r="D19" s="12"/>
      <c r="E19" s="12"/>
    </row>
    <row r="20" spans="1:5" ht="15" customHeight="1" x14ac:dyDescent="0.3">
      <c r="A20" s="7" t="s">
        <v>31</v>
      </c>
      <c r="B20" s="14">
        <v>15</v>
      </c>
      <c r="D20" s="12"/>
      <c r="E20" s="12"/>
    </row>
    <row r="21" spans="1:5" ht="15" customHeight="1" x14ac:dyDescent="0.35">
      <c r="A21" s="2" t="s">
        <v>42</v>
      </c>
      <c r="C21" s="12"/>
      <c r="D21" s="12"/>
      <c r="E21" s="12"/>
    </row>
    <row r="22" spans="1:5" ht="15" customHeight="1" x14ac:dyDescent="0.3">
      <c r="A22" s="7" t="s">
        <v>55</v>
      </c>
      <c r="B22" s="14">
        <v>800000</v>
      </c>
      <c r="C22" s="12" t="str">
        <f>IF(ROUND(SUM(B22:B30),2)&lt;&gt;0,"The total of the start-up balances should be nil!","")</f>
        <v/>
      </c>
      <c r="D22" s="12"/>
      <c r="E22" s="12"/>
    </row>
    <row r="23" spans="1:5" ht="15" customHeight="1" x14ac:dyDescent="0.3">
      <c r="A23" s="7" t="s">
        <v>28</v>
      </c>
      <c r="B23" s="14">
        <v>140000</v>
      </c>
      <c r="C23" s="12"/>
      <c r="D23" s="12"/>
      <c r="E23" s="12"/>
    </row>
    <row r="24" spans="1:5" ht="15" customHeight="1" x14ac:dyDescent="0.3">
      <c r="A24" s="7" t="s">
        <v>84</v>
      </c>
      <c r="B24" s="14">
        <v>250000</v>
      </c>
      <c r="C24" s="12"/>
      <c r="D24" s="12"/>
      <c r="E24" s="12"/>
    </row>
    <row r="25" spans="1:5" ht="15" customHeight="1" x14ac:dyDescent="0.3">
      <c r="A25" s="7" t="s">
        <v>37</v>
      </c>
      <c r="B25" s="14">
        <v>21000</v>
      </c>
      <c r="C25" s="12"/>
      <c r="D25" s="12"/>
      <c r="E25" s="12"/>
    </row>
    <row r="26" spans="1:5" ht="15" customHeight="1" x14ac:dyDescent="0.3">
      <c r="A26" s="15" t="s">
        <v>0</v>
      </c>
      <c r="B26" s="14">
        <v>-1000</v>
      </c>
      <c r="C26" s="12"/>
      <c r="D26" s="12"/>
      <c r="E26" s="12"/>
    </row>
    <row r="27" spans="1:5" ht="15" customHeight="1" x14ac:dyDescent="0.3">
      <c r="A27" s="15" t="s">
        <v>39</v>
      </c>
      <c r="B27" s="14">
        <v>0</v>
      </c>
      <c r="C27" s="12"/>
      <c r="D27" s="12"/>
      <c r="E27" s="12"/>
    </row>
    <row r="28" spans="1:5" ht="15" customHeight="1" x14ac:dyDescent="0.3">
      <c r="A28" s="7" t="s">
        <v>43</v>
      </c>
      <c r="B28" s="14">
        <v>-1100000</v>
      </c>
      <c r="C28" s="12" t="str">
        <f>IF($B$28&gt;0,"The long term loans start-up balance should be entered as a negative value!","")</f>
        <v/>
      </c>
      <c r="D28" s="12"/>
      <c r="E28" s="12"/>
    </row>
    <row r="29" spans="1:5" ht="15" customHeight="1" x14ac:dyDescent="0.3">
      <c r="A29" s="7" t="s">
        <v>85</v>
      </c>
      <c r="B29" s="14">
        <v>-110000</v>
      </c>
      <c r="C29" s="12"/>
      <c r="D29" s="12"/>
      <c r="E29" s="12"/>
    </row>
    <row r="30" spans="1:5" ht="15" customHeight="1" x14ac:dyDescent="0.3">
      <c r="A30" s="7" t="s">
        <v>52</v>
      </c>
      <c r="B30" s="14">
        <v>0</v>
      </c>
      <c r="C30" s="12"/>
      <c r="D30" s="12"/>
      <c r="E30" s="12"/>
    </row>
    <row r="31" spans="1:5" ht="15" customHeight="1" x14ac:dyDescent="0.35">
      <c r="A31" s="2" t="s">
        <v>53</v>
      </c>
      <c r="B31" s="12"/>
      <c r="C31" s="12"/>
      <c r="D31" s="12"/>
      <c r="E31" s="12"/>
    </row>
    <row r="32" spans="1:5" ht="15" customHeight="1" x14ac:dyDescent="0.3">
      <c r="A32" s="15" t="s">
        <v>34</v>
      </c>
      <c r="B32" s="208">
        <v>0.105</v>
      </c>
      <c r="C32" s="12"/>
      <c r="D32" s="12"/>
      <c r="E32" s="12"/>
    </row>
    <row r="33" spans="1:5" ht="15" customHeight="1" x14ac:dyDescent="0.3">
      <c r="A33" s="15" t="s">
        <v>61</v>
      </c>
      <c r="B33" s="17">
        <v>5</v>
      </c>
      <c r="C33" s="12"/>
      <c r="D33" s="12"/>
      <c r="E33" s="12"/>
    </row>
    <row r="34" spans="1:5" ht="15" customHeight="1" x14ac:dyDescent="0.3">
      <c r="A34" s="15" t="s">
        <v>45</v>
      </c>
      <c r="B34" s="18" t="s">
        <v>46</v>
      </c>
      <c r="C34" s="12"/>
      <c r="D34" s="12"/>
      <c r="E34" s="12"/>
    </row>
    <row r="35" spans="1:5" ht="15" customHeight="1" x14ac:dyDescent="0.3">
      <c r="A35" s="15" t="s">
        <v>94</v>
      </c>
      <c r="B35" s="17">
        <v>5</v>
      </c>
      <c r="C35" s="12"/>
      <c r="D35" s="12"/>
      <c r="E35" s="12"/>
    </row>
    <row r="36" spans="1:5" ht="15" customHeight="1" x14ac:dyDescent="0.35">
      <c r="A36" s="2" t="s">
        <v>41</v>
      </c>
      <c r="B36" s="3"/>
    </row>
    <row r="37" spans="1:5" ht="15" customHeight="1" x14ac:dyDescent="0.3">
      <c r="A37" s="7" t="s">
        <v>33</v>
      </c>
      <c r="B37" s="16">
        <v>0.28000000000000003</v>
      </c>
    </row>
    <row r="38" spans="1:5" ht="15" customHeight="1" x14ac:dyDescent="0.35">
      <c r="A38" s="19" t="s">
        <v>107</v>
      </c>
    </row>
  </sheetData>
  <mergeCells count="1">
    <mergeCell ref="B4:D4"/>
  </mergeCells>
  <phoneticPr fontId="3" type="noConversion"/>
  <conditionalFormatting sqref="B22:B30">
    <cfRule type="expression" dxfId="8" priority="1" stopIfTrue="1">
      <formula>ROUND(SUM($B$22:$B$30),2)&lt;&gt;0</formula>
    </cfRule>
  </conditionalFormatting>
  <conditionalFormatting sqref="B28">
    <cfRule type="cellIs" dxfId="7" priority="2" stopIfTrue="1" operator="greaterThan">
      <formula>0</formula>
    </cfRule>
  </conditionalFormatting>
  <dataValidations count="8">
    <dataValidation type="list" allowBlank="1" showInputMessage="1" showErrorMessage="1" errorTitle="Invalid Data" error="Select a valid item from the list box." sqref="B34" xr:uid="{00000000-0002-0000-0100-000000000000}">
      <formula1>"Yes,No"</formula1>
    </dataValidation>
    <dataValidation type="whole" allowBlank="1" showInputMessage="1" showErrorMessage="1" errorTitle="Invalid Repayment Term" error="The repayment term must be greater than 1 year and less than 10 years. If the forecast includes no long term loans, leave the default repayment term unchanged - it will have no effect on the cash flow calculations." sqref="B33" xr:uid="{00000000-0002-0000-0100-000001000000}">
      <formula1>1</formula1>
      <formula2>10</formula2>
    </dataValidation>
    <dataValidation operator="lessThan" allowBlank="1" showInputMessage="1" showErrorMessage="1" errorTitle="Invalid Input" error="The estimated Creditors balances should be entered as a negative value." sqref="D20:E20 B20" xr:uid="{00000000-0002-0000-0100-000002000000}"/>
    <dataValidation type="decimal" allowBlank="1" showInputMessage="1" showErrorMessage="1" errorTitle="Invalid Input" error="Please enter the value as a percentage - should therefore be a value between 0 and 1." sqref="C14:E14" xr:uid="{00000000-0002-0000-0100-000003000000}">
      <formula1>0</formula1>
      <formula2>1</formula2>
    </dataValidation>
    <dataValidation type="date" operator="greaterThan" allowBlank="1" showInputMessage="1" showErrorMessage="1" errorTitle="Invalid Date" error="The start date should be entered in accordance with the regional date settings that are specified in the System Control Panel." sqref="B5" xr:uid="{00000000-0002-0000-0100-000004000000}">
      <formula1>36526</formula1>
    </dataValidation>
    <dataValidation type="decimal" allowBlank="1" showInputMessage="1" showErrorMessage="1" errorTitle="Invalid Data" error="Enter an interest rate percentage that is between 0% and 100%." sqref="B32" xr:uid="{00000000-0002-0000-0100-000005000000}">
      <formula1>0</formula1>
      <formula2>1</formula2>
    </dataValidation>
    <dataValidation type="decimal" allowBlank="1" showInputMessage="1" showErrorMessage="1" errorTitle="Invalid Data" error="Enter an income tax percentage that is between 0% and 100%." sqref="B37" xr:uid="{00000000-0002-0000-0100-000006000000}">
      <formula1>0</formula1>
      <formula2>1</formula2>
    </dataValidation>
    <dataValidation type="whole" allowBlank="1" showInputMessage="1" showErrorMessage="1" errorTitle="Invalid Day" error="Enter a value between 1 and 30." sqref="B35" xr:uid="{00000000-0002-0000-0100-000007000000}">
      <formula1>1</formula1>
      <formula2>30</formula2>
    </dataValidation>
  </dataValidations>
  <pageMargins left="0.55118110236220474" right="0.55118110236220474" top="0.59055118110236227" bottom="0.59055118110236227" header="0.39370078740157483" footer="0.39370078740157483"/>
  <pageSetup paperSize="9" orientation="portrait" r:id="rId1"/>
  <headerFooter alignWithMargins="0">
    <oddFooter>&amp;C&amp;9Page &amp;P of &amp;N</oddFooter>
  </headerFooter>
  <ignoredErrors>
    <ignoredError sqref="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83"/>
  <sheetViews>
    <sheetView zoomScale="95" zoomScaleNormal="95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1328125" defaultRowHeight="15" customHeight="1" x14ac:dyDescent="0.3"/>
  <cols>
    <col min="1" max="1" width="3.73046875" style="5" customWidth="1"/>
    <col min="2" max="2" width="39.73046875" style="7" customWidth="1"/>
    <col min="3" max="7" width="11.73046875" style="8" customWidth="1"/>
    <col min="8" max="54" width="11.73046875" style="5" customWidth="1"/>
    <col min="55" max="59" width="12.73046875" style="5" customWidth="1"/>
    <col min="60" max="16384" width="9.1328125" style="5"/>
  </cols>
  <sheetData>
    <row r="1" spans="1:59" x14ac:dyDescent="0.4">
      <c r="B1" s="1" t="str">
        <f>Assumptions!$B$4</f>
        <v>Example Trading Limited</v>
      </c>
    </row>
    <row r="2" spans="1:59" ht="15" customHeight="1" x14ac:dyDescent="0.35">
      <c r="B2" s="6" t="s">
        <v>109</v>
      </c>
    </row>
    <row r="3" spans="1:59" s="87" customFormat="1" ht="15" customHeight="1" x14ac:dyDescent="0.35">
      <c r="B3" s="88" t="s">
        <v>60</v>
      </c>
      <c r="C3" s="89" t="str">
        <f>IF(COLUMN(C4)-2&lt;=Assumptions!$B$7,"Q1",IF(COLUMN(C4)-2&lt;=SUM(Assumptions!$B$7:$B$8),"Q2",IF(COLUMN(C4)-2&lt;=SUM(Assumptions!$B$7:$B$9),"Q3","Q4")))</f>
        <v>Q1</v>
      </c>
      <c r="D3" s="89" t="str">
        <f>IF(COLUMN(D4)-2&lt;=Assumptions!$B$7,"Q1",IF(COLUMN(D4)-2&lt;=SUM(Assumptions!$B$7:$B$8),"Q2",IF(COLUMN(D4)-2&lt;=SUM(Assumptions!$B$7:$B$9),"Q3","Q4")))</f>
        <v>Q1</v>
      </c>
      <c r="E3" s="89" t="str">
        <f>IF(COLUMN(E4)-2&lt;=Assumptions!$B$7,"Q1",IF(COLUMN(E4)-2&lt;=SUM(Assumptions!$B$7:$B$8),"Q2",IF(COLUMN(E4)-2&lt;=SUM(Assumptions!$B$7:$B$9),"Q3","Q4")))</f>
        <v>Q1</v>
      </c>
      <c r="F3" s="89" t="str">
        <f>IF(COLUMN(F4)-2&lt;=Assumptions!$B$7,"Q1",IF(COLUMN(F4)-2&lt;=SUM(Assumptions!$B$7:$B$8),"Q2",IF(COLUMN(F4)-2&lt;=SUM(Assumptions!$B$7:$B$9),"Q3","Q4")))</f>
        <v>Q1</v>
      </c>
      <c r="G3" s="89" t="str">
        <f>IF(COLUMN(G4)-2&lt;=Assumptions!$B$7,"Q1",IF(COLUMN(G4)-2&lt;=SUM(Assumptions!$B$7:$B$8),"Q2",IF(COLUMN(G4)-2&lt;=SUM(Assumptions!$B$7:$B$9),"Q3","Q4")))</f>
        <v>Q1</v>
      </c>
      <c r="H3" s="89" t="str">
        <f>IF(COLUMN(H4)-2&lt;=Assumptions!$B$7,"Q1",IF(COLUMN(H4)-2&lt;=SUM(Assumptions!$B$7:$B$8),"Q2",IF(COLUMN(H4)-2&lt;=SUM(Assumptions!$B$7:$B$9),"Q3","Q4")))</f>
        <v>Q1</v>
      </c>
      <c r="I3" s="89" t="str">
        <f>IF(COLUMN(I4)-2&lt;=Assumptions!$B$7,"Q1",IF(COLUMN(I4)-2&lt;=SUM(Assumptions!$B$7:$B$8),"Q2",IF(COLUMN(I4)-2&lt;=SUM(Assumptions!$B$7:$B$9),"Q3","Q4")))</f>
        <v>Q1</v>
      </c>
      <c r="J3" s="89" t="str">
        <f>IF(COLUMN(J4)-2&lt;=Assumptions!$B$7,"Q1",IF(COLUMN(J4)-2&lt;=SUM(Assumptions!$B$7:$B$8),"Q2",IF(COLUMN(J4)-2&lt;=SUM(Assumptions!$B$7:$B$9),"Q3","Q4")))</f>
        <v>Q1</v>
      </c>
      <c r="K3" s="89" t="str">
        <f>IF(COLUMN(K4)-2&lt;=Assumptions!$B$7,"Q1",IF(COLUMN(K4)-2&lt;=SUM(Assumptions!$B$7:$B$8),"Q2",IF(COLUMN(K4)-2&lt;=SUM(Assumptions!$B$7:$B$9),"Q3","Q4")))</f>
        <v>Q1</v>
      </c>
      <c r="L3" s="89" t="str">
        <f>IF(COLUMN(L4)-2&lt;=Assumptions!$B$7,"Q1",IF(COLUMN(L4)-2&lt;=SUM(Assumptions!$B$7:$B$8),"Q2",IF(COLUMN(L4)-2&lt;=SUM(Assumptions!$B$7:$B$9),"Q3","Q4")))</f>
        <v>Q1</v>
      </c>
      <c r="M3" s="89" t="str">
        <f>IF(COLUMN(M4)-2&lt;=Assumptions!$B$7,"Q1",IF(COLUMN(M4)-2&lt;=SUM(Assumptions!$B$7:$B$8),"Q2",IF(COLUMN(M4)-2&lt;=SUM(Assumptions!$B$7:$B$9),"Q3","Q4")))</f>
        <v>Q1</v>
      </c>
      <c r="N3" s="89" t="str">
        <f>IF(COLUMN(N4)-2&lt;=Assumptions!$B$7,"Q1",IF(COLUMN(N4)-2&lt;=SUM(Assumptions!$B$7:$B$8),"Q2",IF(COLUMN(N4)-2&lt;=SUM(Assumptions!$B$7:$B$9),"Q3","Q4")))</f>
        <v>Q1</v>
      </c>
      <c r="O3" s="89" t="str">
        <f>IF(COLUMN(O4)-2&lt;=Assumptions!$B$7,"Q1",IF(COLUMN(O4)-2&lt;=SUM(Assumptions!$B$7:$B$8),"Q2",IF(COLUMN(O4)-2&lt;=SUM(Assumptions!$B$7:$B$9),"Q3","Q4")))</f>
        <v>Q1</v>
      </c>
      <c r="P3" s="89" t="str">
        <f>IF(COLUMN(P4)-2&lt;=Assumptions!$B$7,"Q1",IF(COLUMN(P4)-2&lt;=SUM(Assumptions!$B$7:$B$8),"Q2",IF(COLUMN(P4)-2&lt;=SUM(Assumptions!$B$7:$B$9),"Q3","Q4")))</f>
        <v>Q2</v>
      </c>
      <c r="Q3" s="89" t="str">
        <f>IF(COLUMN(Q4)-2&lt;=Assumptions!$B$7,"Q1",IF(COLUMN(Q4)-2&lt;=SUM(Assumptions!$B$7:$B$8),"Q2",IF(COLUMN(Q4)-2&lt;=SUM(Assumptions!$B$7:$B$9),"Q3","Q4")))</f>
        <v>Q2</v>
      </c>
      <c r="R3" s="89" t="str">
        <f>IF(COLUMN(R4)-2&lt;=Assumptions!$B$7,"Q1",IF(COLUMN(R4)-2&lt;=SUM(Assumptions!$B$7:$B$8),"Q2",IF(COLUMN(R4)-2&lt;=SUM(Assumptions!$B$7:$B$9),"Q3","Q4")))</f>
        <v>Q2</v>
      </c>
      <c r="S3" s="89" t="str">
        <f>IF(COLUMN(S4)-2&lt;=Assumptions!$B$7,"Q1",IF(COLUMN(S4)-2&lt;=SUM(Assumptions!$B$7:$B$8),"Q2",IF(COLUMN(S4)-2&lt;=SUM(Assumptions!$B$7:$B$9),"Q3","Q4")))</f>
        <v>Q2</v>
      </c>
      <c r="T3" s="89" t="str">
        <f>IF(COLUMN(T4)-2&lt;=Assumptions!$B$7,"Q1",IF(COLUMN(T4)-2&lt;=SUM(Assumptions!$B$7:$B$8),"Q2",IF(COLUMN(T4)-2&lt;=SUM(Assumptions!$B$7:$B$9),"Q3","Q4")))</f>
        <v>Q2</v>
      </c>
      <c r="U3" s="89" t="str">
        <f>IF(COLUMN(U4)-2&lt;=Assumptions!$B$7,"Q1",IF(COLUMN(U4)-2&lt;=SUM(Assumptions!$B$7:$B$8),"Q2",IF(COLUMN(U4)-2&lt;=SUM(Assumptions!$B$7:$B$9),"Q3","Q4")))</f>
        <v>Q2</v>
      </c>
      <c r="V3" s="89" t="str">
        <f>IF(COLUMN(V4)-2&lt;=Assumptions!$B$7,"Q1",IF(COLUMN(V4)-2&lt;=SUM(Assumptions!$B$7:$B$8),"Q2",IF(COLUMN(V4)-2&lt;=SUM(Assumptions!$B$7:$B$9),"Q3","Q4")))</f>
        <v>Q2</v>
      </c>
      <c r="W3" s="89" t="str">
        <f>IF(COLUMN(W4)-2&lt;=Assumptions!$B$7,"Q1",IF(COLUMN(W4)-2&lt;=SUM(Assumptions!$B$7:$B$8),"Q2",IF(COLUMN(W4)-2&lt;=SUM(Assumptions!$B$7:$B$9),"Q3","Q4")))</f>
        <v>Q2</v>
      </c>
      <c r="X3" s="89" t="str">
        <f>IF(COLUMN(X4)-2&lt;=Assumptions!$B$7,"Q1",IF(COLUMN(X4)-2&lt;=SUM(Assumptions!$B$7:$B$8),"Q2",IF(COLUMN(X4)-2&lt;=SUM(Assumptions!$B$7:$B$9),"Q3","Q4")))</f>
        <v>Q2</v>
      </c>
      <c r="Y3" s="89" t="str">
        <f>IF(COLUMN(Y4)-2&lt;=Assumptions!$B$7,"Q1",IF(COLUMN(Y4)-2&lt;=SUM(Assumptions!$B$7:$B$8),"Q2",IF(COLUMN(Y4)-2&lt;=SUM(Assumptions!$B$7:$B$9),"Q3","Q4")))</f>
        <v>Q2</v>
      </c>
      <c r="Z3" s="89" t="str">
        <f>IF(COLUMN(Z4)-2&lt;=Assumptions!$B$7,"Q1",IF(COLUMN(Z4)-2&lt;=SUM(Assumptions!$B$7:$B$8),"Q2",IF(COLUMN(Z4)-2&lt;=SUM(Assumptions!$B$7:$B$9),"Q3","Q4")))</f>
        <v>Q2</v>
      </c>
      <c r="AA3" s="89" t="str">
        <f>IF(COLUMN(AA4)-2&lt;=Assumptions!$B$7,"Q1",IF(COLUMN(AA4)-2&lt;=SUM(Assumptions!$B$7:$B$8),"Q2",IF(COLUMN(AA4)-2&lt;=SUM(Assumptions!$B$7:$B$9),"Q3","Q4")))</f>
        <v>Q2</v>
      </c>
      <c r="AB3" s="89" t="str">
        <f>IF(COLUMN(AB4)-2&lt;=Assumptions!$B$7,"Q1",IF(COLUMN(AB4)-2&lt;=SUM(Assumptions!$B$7:$B$8),"Q2",IF(COLUMN(AB4)-2&lt;=SUM(Assumptions!$B$7:$B$9),"Q3","Q4")))</f>
        <v>Q2</v>
      </c>
      <c r="AC3" s="89" t="str">
        <f>IF(COLUMN(AC4)-2&lt;=Assumptions!$B$7,"Q1",IF(COLUMN(AC4)-2&lt;=SUM(Assumptions!$B$7:$B$8),"Q2",IF(COLUMN(AC4)-2&lt;=SUM(Assumptions!$B$7:$B$9),"Q3","Q4")))</f>
        <v>Q3</v>
      </c>
      <c r="AD3" s="89" t="str">
        <f>IF(COLUMN(AD4)-2&lt;=Assumptions!$B$7,"Q1",IF(COLUMN(AD4)-2&lt;=SUM(Assumptions!$B$7:$B$8),"Q2",IF(COLUMN(AD4)-2&lt;=SUM(Assumptions!$B$7:$B$9),"Q3","Q4")))</f>
        <v>Q3</v>
      </c>
      <c r="AE3" s="89" t="str">
        <f>IF(COLUMN(AE4)-2&lt;=Assumptions!$B$7,"Q1",IF(COLUMN(AE4)-2&lt;=SUM(Assumptions!$B$7:$B$8),"Q2",IF(COLUMN(AE4)-2&lt;=SUM(Assumptions!$B$7:$B$9),"Q3","Q4")))</f>
        <v>Q3</v>
      </c>
      <c r="AF3" s="89" t="str">
        <f>IF(COLUMN(AF4)-2&lt;=Assumptions!$B$7,"Q1",IF(COLUMN(AF4)-2&lt;=SUM(Assumptions!$B$7:$B$8),"Q2",IF(COLUMN(AF4)-2&lt;=SUM(Assumptions!$B$7:$B$9),"Q3","Q4")))</f>
        <v>Q3</v>
      </c>
      <c r="AG3" s="89" t="str">
        <f>IF(COLUMN(AG4)-2&lt;=Assumptions!$B$7,"Q1",IF(COLUMN(AG4)-2&lt;=SUM(Assumptions!$B$7:$B$8),"Q2",IF(COLUMN(AG4)-2&lt;=SUM(Assumptions!$B$7:$B$9),"Q3","Q4")))</f>
        <v>Q3</v>
      </c>
      <c r="AH3" s="89" t="str">
        <f>IF(COLUMN(AH4)-2&lt;=Assumptions!$B$7,"Q1",IF(COLUMN(AH4)-2&lt;=SUM(Assumptions!$B$7:$B$8),"Q2",IF(COLUMN(AH4)-2&lt;=SUM(Assumptions!$B$7:$B$9),"Q3","Q4")))</f>
        <v>Q3</v>
      </c>
      <c r="AI3" s="89" t="str">
        <f>IF(COLUMN(AI4)-2&lt;=Assumptions!$B$7,"Q1",IF(COLUMN(AI4)-2&lt;=SUM(Assumptions!$B$7:$B$8),"Q2",IF(COLUMN(AI4)-2&lt;=SUM(Assumptions!$B$7:$B$9),"Q3","Q4")))</f>
        <v>Q3</v>
      </c>
      <c r="AJ3" s="89" t="str">
        <f>IF(COLUMN(AJ4)-2&lt;=Assumptions!$B$7,"Q1",IF(COLUMN(AJ4)-2&lt;=SUM(Assumptions!$B$7:$B$8),"Q2",IF(COLUMN(AJ4)-2&lt;=SUM(Assumptions!$B$7:$B$9),"Q3","Q4")))</f>
        <v>Q3</v>
      </c>
      <c r="AK3" s="89" t="str">
        <f>IF(COLUMN(AK4)-2&lt;=Assumptions!$B$7,"Q1",IF(COLUMN(AK4)-2&lt;=SUM(Assumptions!$B$7:$B$8),"Q2",IF(COLUMN(AK4)-2&lt;=SUM(Assumptions!$B$7:$B$9),"Q3","Q4")))</f>
        <v>Q3</v>
      </c>
      <c r="AL3" s="89" t="str">
        <f>IF(COLUMN(AL4)-2&lt;=Assumptions!$B$7,"Q1",IF(COLUMN(AL4)-2&lt;=SUM(Assumptions!$B$7:$B$8),"Q2",IF(COLUMN(AL4)-2&lt;=SUM(Assumptions!$B$7:$B$9),"Q3","Q4")))</f>
        <v>Q3</v>
      </c>
      <c r="AM3" s="89" t="str">
        <f>IF(COLUMN(AM4)-2&lt;=Assumptions!$B$7,"Q1",IF(COLUMN(AM4)-2&lt;=SUM(Assumptions!$B$7:$B$8),"Q2",IF(COLUMN(AM4)-2&lt;=SUM(Assumptions!$B$7:$B$9),"Q3","Q4")))</f>
        <v>Q3</v>
      </c>
      <c r="AN3" s="89" t="str">
        <f>IF(COLUMN(AN4)-2&lt;=Assumptions!$B$7,"Q1",IF(COLUMN(AN4)-2&lt;=SUM(Assumptions!$B$7:$B$8),"Q2",IF(COLUMN(AN4)-2&lt;=SUM(Assumptions!$B$7:$B$9),"Q3","Q4")))</f>
        <v>Q3</v>
      </c>
      <c r="AO3" s="89" t="str">
        <f>IF(COLUMN(AO4)-2&lt;=Assumptions!$B$7,"Q1",IF(COLUMN(AO4)-2&lt;=SUM(Assumptions!$B$7:$B$8),"Q2",IF(COLUMN(AO4)-2&lt;=SUM(Assumptions!$B$7:$B$9),"Q3","Q4")))</f>
        <v>Q3</v>
      </c>
      <c r="AP3" s="89" t="str">
        <f>IF(COLUMN(AP4)-2&lt;=Assumptions!$B$7,"Q1",IF(COLUMN(AP4)-2&lt;=SUM(Assumptions!$B$7:$B$8),"Q2",IF(COLUMN(AP4)-2&lt;=SUM(Assumptions!$B$7:$B$9),"Q3","Q4")))</f>
        <v>Q4</v>
      </c>
      <c r="AQ3" s="89" t="str">
        <f>IF(COLUMN(AQ4)-2&lt;=Assumptions!$B$7,"Q1",IF(COLUMN(AQ4)-2&lt;=SUM(Assumptions!$B$7:$B$8),"Q2",IF(COLUMN(AQ4)-2&lt;=SUM(Assumptions!$B$7:$B$9),"Q3","Q4")))</f>
        <v>Q4</v>
      </c>
      <c r="AR3" s="89" t="str">
        <f>IF(COLUMN(AR4)-2&lt;=Assumptions!$B$7,"Q1",IF(COLUMN(AR4)-2&lt;=SUM(Assumptions!$B$7:$B$8),"Q2",IF(COLUMN(AR4)-2&lt;=SUM(Assumptions!$B$7:$B$9),"Q3","Q4")))</f>
        <v>Q4</v>
      </c>
      <c r="AS3" s="89" t="str">
        <f>IF(COLUMN(AS4)-2&lt;=Assumptions!$B$7,"Q1",IF(COLUMN(AS4)-2&lt;=SUM(Assumptions!$B$7:$B$8),"Q2",IF(COLUMN(AS4)-2&lt;=SUM(Assumptions!$B$7:$B$9),"Q3","Q4")))</f>
        <v>Q4</v>
      </c>
      <c r="AT3" s="89" t="str">
        <f>IF(COLUMN(AT4)-2&lt;=Assumptions!$B$7,"Q1",IF(COLUMN(AT4)-2&lt;=SUM(Assumptions!$B$7:$B$8),"Q2",IF(COLUMN(AT4)-2&lt;=SUM(Assumptions!$B$7:$B$9),"Q3","Q4")))</f>
        <v>Q4</v>
      </c>
      <c r="AU3" s="89" t="str">
        <f>IF(COLUMN(AU4)-2&lt;=Assumptions!$B$7,"Q1",IF(COLUMN(AU4)-2&lt;=SUM(Assumptions!$B$7:$B$8),"Q2",IF(COLUMN(AU4)-2&lt;=SUM(Assumptions!$B$7:$B$9),"Q3","Q4")))</f>
        <v>Q4</v>
      </c>
      <c r="AV3" s="89" t="str">
        <f>IF(COLUMN(AV4)-2&lt;=Assumptions!$B$7,"Q1",IF(COLUMN(AV4)-2&lt;=SUM(Assumptions!$B$7:$B$8),"Q2",IF(COLUMN(AV4)-2&lt;=SUM(Assumptions!$B$7:$B$9),"Q3","Q4")))</f>
        <v>Q4</v>
      </c>
      <c r="AW3" s="89" t="str">
        <f>IF(COLUMN(AW4)-2&lt;=Assumptions!$B$7,"Q1",IF(COLUMN(AW4)-2&lt;=SUM(Assumptions!$B$7:$B$8),"Q2",IF(COLUMN(AW4)-2&lt;=SUM(Assumptions!$B$7:$B$9),"Q3","Q4")))</f>
        <v>Q4</v>
      </c>
      <c r="AX3" s="89" t="str">
        <f>IF(COLUMN(AX4)-2&lt;=Assumptions!$B$7,"Q1",IF(COLUMN(AX4)-2&lt;=SUM(Assumptions!$B$7:$B$8),"Q2",IF(COLUMN(AX4)-2&lt;=SUM(Assumptions!$B$7:$B$9),"Q3","Q4")))</f>
        <v>Q4</v>
      </c>
      <c r="AY3" s="89" t="str">
        <f>IF(COLUMN(AY4)-2&lt;=Assumptions!$B$7,"Q1",IF(COLUMN(AY4)-2&lt;=SUM(Assumptions!$B$7:$B$8),"Q2",IF(COLUMN(AY4)-2&lt;=SUM(Assumptions!$B$7:$B$9),"Q3","Q4")))</f>
        <v>Q4</v>
      </c>
      <c r="AZ3" s="89" t="str">
        <f>IF(COLUMN(AZ4)-2&lt;=Assumptions!$B$7,"Q1",IF(COLUMN(AZ4)-2&lt;=SUM(Assumptions!$B$7:$B$8),"Q2",IF(COLUMN(AZ4)-2&lt;=SUM(Assumptions!$B$7:$B$9),"Q3","Q4")))</f>
        <v>Q4</v>
      </c>
      <c r="BA3" s="89" t="str">
        <f>IF(COLUMN(BA4)-2&lt;=Assumptions!$B$7,"Q1",IF(COLUMN(BA4)-2&lt;=SUM(Assumptions!$B$7:$B$8),"Q2",IF(COLUMN(BA4)-2&lt;=SUM(Assumptions!$B$7:$B$9),"Q3","Q4")))</f>
        <v>Q4</v>
      </c>
      <c r="BB3" s="89" t="str">
        <f>IF(COLUMN(BB4)-2&lt;=Assumptions!$B$7,"Q1",IF(COLUMN(BB4)-2&lt;=SUM(Assumptions!$B$7:$B$8),"Q2",IF(COLUMN(BB4)-2&lt;=SUM(Assumptions!$B$7:$B$9),"Q3","Q4")))</f>
        <v>Q4</v>
      </c>
      <c r="BC3" s="91" t="s">
        <v>101</v>
      </c>
      <c r="BD3" s="91" t="s">
        <v>102</v>
      </c>
      <c r="BE3" s="91" t="s">
        <v>103</v>
      </c>
      <c r="BF3" s="91" t="s">
        <v>104</v>
      </c>
    </row>
    <row r="4" spans="1:59" s="66" customFormat="1" ht="18" customHeight="1" x14ac:dyDescent="0.35">
      <c r="B4" s="67"/>
      <c r="C4" s="68">
        <f ca="1">IF(ISBLANK(Assumptions!$B$5)=TRUE,DATE(YEAR(TODAY()),MONTH(TODAY()),7),DATE(YEAR(Assumptions!$B$5),MONTH(Assumptions!$B$5),DAY(Assumptions!$B$5)+6))</f>
        <v>42435</v>
      </c>
      <c r="D4" s="68">
        <f ca="1">DATE(YEAR(OFFSET(D3,1,-1,1,1)),MONTH(OFFSET(D3,1,-1,1,1)),DAY(OFFSET(D3,1,-1,1,1))+7)</f>
        <v>42442</v>
      </c>
      <c r="E4" s="68">
        <f t="shared" ref="E4:BB4" ca="1" si="0">DATE(YEAR(OFFSET(E3,1,-1,1,1)),MONTH(OFFSET(E3,1,-1,1,1)),DAY(OFFSET(E3,1,-1,1,1))+7)</f>
        <v>42449</v>
      </c>
      <c r="F4" s="68">
        <f t="shared" ca="1" si="0"/>
        <v>42456</v>
      </c>
      <c r="G4" s="68">
        <f t="shared" ca="1" si="0"/>
        <v>42463</v>
      </c>
      <c r="H4" s="68">
        <f t="shared" ca="1" si="0"/>
        <v>42470</v>
      </c>
      <c r="I4" s="68">
        <f t="shared" ca="1" si="0"/>
        <v>42477</v>
      </c>
      <c r="J4" s="68">
        <f t="shared" ca="1" si="0"/>
        <v>42484</v>
      </c>
      <c r="K4" s="68">
        <f t="shared" ca="1" si="0"/>
        <v>42491</v>
      </c>
      <c r="L4" s="68">
        <f t="shared" ca="1" si="0"/>
        <v>42498</v>
      </c>
      <c r="M4" s="68">
        <f t="shared" ca="1" si="0"/>
        <v>42505</v>
      </c>
      <c r="N4" s="68">
        <f t="shared" ca="1" si="0"/>
        <v>42512</v>
      </c>
      <c r="O4" s="68">
        <f t="shared" ca="1" si="0"/>
        <v>42519</v>
      </c>
      <c r="P4" s="68">
        <f t="shared" ca="1" si="0"/>
        <v>42526</v>
      </c>
      <c r="Q4" s="68">
        <f t="shared" ca="1" si="0"/>
        <v>42533</v>
      </c>
      <c r="R4" s="68">
        <f t="shared" ca="1" si="0"/>
        <v>42540</v>
      </c>
      <c r="S4" s="68">
        <f t="shared" ca="1" si="0"/>
        <v>42547</v>
      </c>
      <c r="T4" s="68">
        <f t="shared" ca="1" si="0"/>
        <v>42554</v>
      </c>
      <c r="U4" s="68">
        <f t="shared" ca="1" si="0"/>
        <v>42561</v>
      </c>
      <c r="V4" s="68">
        <f t="shared" ca="1" si="0"/>
        <v>42568</v>
      </c>
      <c r="W4" s="68">
        <f t="shared" ca="1" si="0"/>
        <v>42575</v>
      </c>
      <c r="X4" s="68">
        <f t="shared" ca="1" si="0"/>
        <v>42582</v>
      </c>
      <c r="Y4" s="68">
        <f t="shared" ca="1" si="0"/>
        <v>42589</v>
      </c>
      <c r="Z4" s="68">
        <f t="shared" ca="1" si="0"/>
        <v>42596</v>
      </c>
      <c r="AA4" s="68">
        <f t="shared" ca="1" si="0"/>
        <v>42603</v>
      </c>
      <c r="AB4" s="68">
        <f t="shared" ca="1" si="0"/>
        <v>42610</v>
      </c>
      <c r="AC4" s="68">
        <f t="shared" ca="1" si="0"/>
        <v>42617</v>
      </c>
      <c r="AD4" s="68">
        <f t="shared" ca="1" si="0"/>
        <v>42624</v>
      </c>
      <c r="AE4" s="68">
        <f t="shared" ca="1" si="0"/>
        <v>42631</v>
      </c>
      <c r="AF4" s="68">
        <f t="shared" ca="1" si="0"/>
        <v>42638</v>
      </c>
      <c r="AG4" s="68">
        <f t="shared" ca="1" si="0"/>
        <v>42645</v>
      </c>
      <c r="AH4" s="68">
        <f t="shared" ca="1" si="0"/>
        <v>42652</v>
      </c>
      <c r="AI4" s="68">
        <f t="shared" ca="1" si="0"/>
        <v>42659</v>
      </c>
      <c r="AJ4" s="68">
        <f t="shared" ca="1" si="0"/>
        <v>42666</v>
      </c>
      <c r="AK4" s="68">
        <f t="shared" ca="1" si="0"/>
        <v>42673</v>
      </c>
      <c r="AL4" s="68">
        <f t="shared" ca="1" si="0"/>
        <v>42680</v>
      </c>
      <c r="AM4" s="68">
        <f t="shared" ca="1" si="0"/>
        <v>42687</v>
      </c>
      <c r="AN4" s="68">
        <f t="shared" ca="1" si="0"/>
        <v>42694</v>
      </c>
      <c r="AO4" s="68">
        <f t="shared" ca="1" si="0"/>
        <v>42701</v>
      </c>
      <c r="AP4" s="68">
        <f t="shared" ca="1" si="0"/>
        <v>42708</v>
      </c>
      <c r="AQ4" s="68">
        <f t="shared" ca="1" si="0"/>
        <v>42715</v>
      </c>
      <c r="AR4" s="68">
        <f t="shared" ca="1" si="0"/>
        <v>42722</v>
      </c>
      <c r="AS4" s="68">
        <f t="shared" ca="1" si="0"/>
        <v>42729</v>
      </c>
      <c r="AT4" s="68">
        <f t="shared" ca="1" si="0"/>
        <v>42736</v>
      </c>
      <c r="AU4" s="68">
        <f t="shared" ca="1" si="0"/>
        <v>42743</v>
      </c>
      <c r="AV4" s="68">
        <f t="shared" ca="1" si="0"/>
        <v>42750</v>
      </c>
      <c r="AW4" s="68">
        <f t="shared" ca="1" si="0"/>
        <v>42757</v>
      </c>
      <c r="AX4" s="68">
        <f t="shared" ca="1" si="0"/>
        <v>42764</v>
      </c>
      <c r="AY4" s="68">
        <f t="shared" ca="1" si="0"/>
        <v>42771</v>
      </c>
      <c r="AZ4" s="68">
        <f t="shared" ca="1" si="0"/>
        <v>42778</v>
      </c>
      <c r="BA4" s="68">
        <f t="shared" ca="1" si="0"/>
        <v>42785</v>
      </c>
      <c r="BB4" s="68">
        <f t="shared" ca="1" si="0"/>
        <v>42792</v>
      </c>
      <c r="BC4" s="69" t="s">
        <v>87</v>
      </c>
      <c r="BD4" s="69" t="s">
        <v>88</v>
      </c>
      <c r="BE4" s="69" t="s">
        <v>89</v>
      </c>
      <c r="BF4" s="69" t="s">
        <v>90</v>
      </c>
      <c r="BG4" s="69" t="str">
        <f ca="1">"Total "&amp;YEAR(OFFSET($BC$4,0,-1,1,1))</f>
        <v>Total 2017</v>
      </c>
    </row>
    <row r="5" spans="1:59" s="3" customFormat="1" ht="15" customHeight="1" x14ac:dyDescent="0.35">
      <c r="A5" s="20"/>
      <c r="B5" s="21" t="s">
        <v>1</v>
      </c>
      <c r="C5" s="22">
        <v>75000</v>
      </c>
      <c r="D5" s="23">
        <v>64300</v>
      </c>
      <c r="E5" s="23">
        <v>80000</v>
      </c>
      <c r="F5" s="23">
        <v>82000</v>
      </c>
      <c r="G5" s="23">
        <v>80250</v>
      </c>
      <c r="H5" s="23">
        <v>76250</v>
      </c>
      <c r="I5" s="23">
        <v>68250</v>
      </c>
      <c r="J5" s="23">
        <v>78750</v>
      </c>
      <c r="K5" s="23">
        <v>75000</v>
      </c>
      <c r="L5" s="23">
        <v>80000</v>
      </c>
      <c r="M5" s="23">
        <v>82500</v>
      </c>
      <c r="N5" s="23">
        <v>82000</v>
      </c>
      <c r="O5" s="23">
        <v>77500</v>
      </c>
      <c r="P5" s="23">
        <v>87500</v>
      </c>
      <c r="Q5" s="23">
        <v>80000</v>
      </c>
      <c r="R5" s="23">
        <v>80750</v>
      </c>
      <c r="S5" s="23">
        <v>86250</v>
      </c>
      <c r="T5" s="23">
        <v>88500</v>
      </c>
      <c r="U5" s="23">
        <v>86750</v>
      </c>
      <c r="V5" s="23">
        <v>77500</v>
      </c>
      <c r="W5" s="23">
        <v>78750</v>
      </c>
      <c r="X5" s="23">
        <v>87500</v>
      </c>
      <c r="Y5" s="23">
        <v>84500</v>
      </c>
      <c r="Z5" s="23">
        <v>90500</v>
      </c>
      <c r="AA5" s="23">
        <v>89250</v>
      </c>
      <c r="AB5" s="23">
        <v>88250</v>
      </c>
      <c r="AC5" s="23">
        <v>90500</v>
      </c>
      <c r="AD5" s="23">
        <v>92000</v>
      </c>
      <c r="AE5" s="23">
        <v>93000</v>
      </c>
      <c r="AF5" s="23">
        <v>87250</v>
      </c>
      <c r="AG5" s="23">
        <v>92500</v>
      </c>
      <c r="AH5" s="23">
        <v>91000</v>
      </c>
      <c r="AI5" s="23">
        <v>95250</v>
      </c>
      <c r="AJ5" s="23">
        <v>97250</v>
      </c>
      <c r="AK5" s="23">
        <v>93000</v>
      </c>
      <c r="AL5" s="23">
        <v>95000</v>
      </c>
      <c r="AM5" s="23">
        <v>96250</v>
      </c>
      <c r="AN5" s="23">
        <v>93500</v>
      </c>
      <c r="AO5" s="23">
        <v>97500</v>
      </c>
      <c r="AP5" s="23">
        <v>88200</v>
      </c>
      <c r="AQ5" s="23">
        <v>75300</v>
      </c>
      <c r="AR5" s="23">
        <v>79200</v>
      </c>
      <c r="AS5" s="23">
        <v>60700</v>
      </c>
      <c r="AT5" s="23">
        <v>51020</v>
      </c>
      <c r="AU5" s="23">
        <v>55320</v>
      </c>
      <c r="AV5" s="23">
        <v>68250</v>
      </c>
      <c r="AW5" s="23">
        <v>95620</v>
      </c>
      <c r="AX5" s="23">
        <v>95000</v>
      </c>
      <c r="AY5" s="23">
        <v>97000</v>
      </c>
      <c r="AZ5" s="23">
        <v>101500</v>
      </c>
      <c r="BA5" s="23">
        <v>98600</v>
      </c>
      <c r="BB5" s="23">
        <v>96400</v>
      </c>
      <c r="BC5" s="23">
        <f ca="1">SUM(OFFSET($B5,0,1,1,Assumptions!$B$7))</f>
        <v>1001800</v>
      </c>
      <c r="BD5" s="23">
        <f ca="1">SUM(OFFSET($B5,0,1+Assumptions!$B$7,1,SUM(Assumptions!$B$8)))</f>
        <v>1106000</v>
      </c>
      <c r="BE5" s="23">
        <f ca="1">SUM(OFFSET($B5,0,1+SUM(Assumptions!$B$7:$B$8),1,SUM(Assumptions!$B$9)))</f>
        <v>1214000</v>
      </c>
      <c r="BF5" s="23">
        <f ca="1">SUM(OFFSET($B5,0,1+SUM(Assumptions!$B$7:$B$9),1,SUM(Assumptions!$B$10)))</f>
        <v>1062110</v>
      </c>
      <c r="BG5" s="23">
        <f ca="1">SUM(BC5:BF5)</f>
        <v>4383910</v>
      </c>
    </row>
    <row r="6" spans="1:59" s="8" customFormat="1" ht="15" customHeight="1" x14ac:dyDescent="0.3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1:59" s="3" customFormat="1" ht="15" customHeight="1" x14ac:dyDescent="0.35">
      <c r="B7" s="21" t="s">
        <v>2</v>
      </c>
      <c r="C7" s="26">
        <f t="shared" ref="C7:O7" si="1">SUM(C5,-C9)</f>
        <v>48750</v>
      </c>
      <c r="D7" s="26">
        <f t="shared" si="1"/>
        <v>41152</v>
      </c>
      <c r="E7" s="26">
        <f>SUM(E5,-E9)</f>
        <v>52000</v>
      </c>
      <c r="F7" s="26">
        <f t="shared" si="1"/>
        <v>53300</v>
      </c>
      <c r="G7" s="26">
        <f t="shared" si="1"/>
        <v>51360</v>
      </c>
      <c r="H7" s="26">
        <f t="shared" si="1"/>
        <v>48037.5</v>
      </c>
      <c r="I7" s="26">
        <f t="shared" si="1"/>
        <v>42997.5</v>
      </c>
      <c r="J7" s="26">
        <f t="shared" si="1"/>
        <v>49612.5</v>
      </c>
      <c r="K7" s="26">
        <f t="shared" si="1"/>
        <v>47250</v>
      </c>
      <c r="L7" s="26">
        <f t="shared" si="1"/>
        <v>50400</v>
      </c>
      <c r="M7" s="26">
        <f t="shared" si="1"/>
        <v>51975</v>
      </c>
      <c r="N7" s="26">
        <f t="shared" si="1"/>
        <v>51660</v>
      </c>
      <c r="O7" s="26">
        <f t="shared" si="1"/>
        <v>48825</v>
      </c>
      <c r="P7" s="26">
        <f t="shared" ref="P7:AB7" si="2">SUM(P5,-P9)</f>
        <v>55125</v>
      </c>
      <c r="Q7" s="26">
        <f>SUM(Q5,-Q9)</f>
        <v>50400</v>
      </c>
      <c r="R7" s="26">
        <f t="shared" si="2"/>
        <v>50872.5</v>
      </c>
      <c r="S7" s="26">
        <f t="shared" si="2"/>
        <v>54337.5</v>
      </c>
      <c r="T7" s="26">
        <f t="shared" si="2"/>
        <v>55755</v>
      </c>
      <c r="U7" s="26">
        <f t="shared" si="2"/>
        <v>54652.5</v>
      </c>
      <c r="V7" s="26">
        <f t="shared" si="2"/>
        <v>48050</v>
      </c>
      <c r="W7" s="26">
        <f t="shared" si="2"/>
        <v>48825</v>
      </c>
      <c r="X7" s="26">
        <f t="shared" si="2"/>
        <v>54250</v>
      </c>
      <c r="Y7" s="26">
        <f t="shared" si="2"/>
        <v>52390</v>
      </c>
      <c r="Z7" s="26">
        <f t="shared" si="2"/>
        <v>56110</v>
      </c>
      <c r="AA7" s="26">
        <f t="shared" si="2"/>
        <v>55335</v>
      </c>
      <c r="AB7" s="26">
        <f t="shared" si="2"/>
        <v>53832.5</v>
      </c>
      <c r="AC7" s="26">
        <f t="shared" ref="AC7:AO7" si="3">SUM(AC5,-AC9)</f>
        <v>54300</v>
      </c>
      <c r="AD7" s="26">
        <f>SUM(AD5,-AD9)</f>
        <v>55200</v>
      </c>
      <c r="AE7" s="26">
        <f t="shared" si="3"/>
        <v>55800</v>
      </c>
      <c r="AF7" s="26">
        <f t="shared" si="3"/>
        <v>52350</v>
      </c>
      <c r="AG7" s="26">
        <f t="shared" si="3"/>
        <v>55500</v>
      </c>
      <c r="AH7" s="26">
        <f t="shared" si="3"/>
        <v>54600</v>
      </c>
      <c r="AI7" s="26">
        <f t="shared" si="3"/>
        <v>57150</v>
      </c>
      <c r="AJ7" s="26">
        <f t="shared" si="3"/>
        <v>58350</v>
      </c>
      <c r="AK7" s="26">
        <f t="shared" si="3"/>
        <v>55800</v>
      </c>
      <c r="AL7" s="26">
        <f t="shared" si="3"/>
        <v>57000</v>
      </c>
      <c r="AM7" s="26">
        <f t="shared" si="3"/>
        <v>57750</v>
      </c>
      <c r="AN7" s="26">
        <f t="shared" si="3"/>
        <v>56100</v>
      </c>
      <c r="AO7" s="26">
        <f t="shared" si="3"/>
        <v>58500</v>
      </c>
      <c r="AP7" s="26">
        <f t="shared" ref="AP7:BB7" si="4">SUM(AP5,-AP9)</f>
        <v>52920</v>
      </c>
      <c r="AQ7" s="26">
        <f t="shared" si="4"/>
        <v>45180</v>
      </c>
      <c r="AR7" s="26">
        <f t="shared" si="4"/>
        <v>47520</v>
      </c>
      <c r="AS7" s="26">
        <f t="shared" si="4"/>
        <v>36420</v>
      </c>
      <c r="AT7" s="26">
        <f t="shared" si="4"/>
        <v>30612</v>
      </c>
      <c r="AU7" s="26">
        <f t="shared" si="4"/>
        <v>33192</v>
      </c>
      <c r="AV7" s="26">
        <f t="shared" si="4"/>
        <v>40950</v>
      </c>
      <c r="AW7" s="26">
        <f t="shared" si="4"/>
        <v>57372</v>
      </c>
      <c r="AX7" s="26">
        <f t="shared" si="4"/>
        <v>57000</v>
      </c>
      <c r="AY7" s="26">
        <f t="shared" si="4"/>
        <v>58200</v>
      </c>
      <c r="AZ7" s="26">
        <f t="shared" si="4"/>
        <v>60900</v>
      </c>
      <c r="BA7" s="26">
        <f t="shared" si="4"/>
        <v>59160</v>
      </c>
      <c r="BB7" s="26">
        <f t="shared" si="4"/>
        <v>57840</v>
      </c>
      <c r="BC7" s="26">
        <f ca="1">SUM(OFFSET($B7,0,1,1,Assumptions!$B$7))</f>
        <v>637319.5</v>
      </c>
      <c r="BD7" s="26">
        <f ca="1">SUM(OFFSET($B7,0,1+Assumptions!$B$7,1,SUM(Assumptions!$B$8)))</f>
        <v>689935</v>
      </c>
      <c r="BE7" s="26">
        <f ca="1">SUM(OFFSET($B7,0,1+SUM(Assumptions!$B$7:$B$8),1,SUM(Assumptions!$B$9)))</f>
        <v>728400</v>
      </c>
      <c r="BF7" s="26">
        <f ca="1">SUM(OFFSET($B7,0,1+SUM(Assumptions!$B$7:$B$9),1,SUM(Assumptions!$B$10)))</f>
        <v>637266</v>
      </c>
      <c r="BG7" s="26">
        <f ca="1">SUM(BC7:BF7)</f>
        <v>2692920.5</v>
      </c>
    </row>
    <row r="8" spans="1:59" s="8" customFormat="1" ht="15" customHeight="1" x14ac:dyDescent="0.3"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</row>
    <row r="9" spans="1:59" s="3" customFormat="1" ht="15" customHeight="1" x14ac:dyDescent="0.35">
      <c r="B9" s="21" t="s">
        <v>3</v>
      </c>
      <c r="C9" s="26">
        <f t="shared" ref="C9:O9" si="5">C5*C10</f>
        <v>26250</v>
      </c>
      <c r="D9" s="26">
        <f t="shared" si="5"/>
        <v>23148</v>
      </c>
      <c r="E9" s="26">
        <f>E5*E10</f>
        <v>28000</v>
      </c>
      <c r="F9" s="26">
        <f t="shared" si="5"/>
        <v>28699.999999999996</v>
      </c>
      <c r="G9" s="26">
        <f t="shared" si="5"/>
        <v>28890</v>
      </c>
      <c r="H9" s="26">
        <f t="shared" si="5"/>
        <v>28212.5</v>
      </c>
      <c r="I9" s="26">
        <f t="shared" si="5"/>
        <v>25252.5</v>
      </c>
      <c r="J9" s="26">
        <f t="shared" si="5"/>
        <v>29137.5</v>
      </c>
      <c r="K9" s="26">
        <f t="shared" si="5"/>
        <v>27750</v>
      </c>
      <c r="L9" s="26">
        <f t="shared" si="5"/>
        <v>29600</v>
      </c>
      <c r="M9" s="26">
        <f t="shared" si="5"/>
        <v>30525</v>
      </c>
      <c r="N9" s="26">
        <f t="shared" si="5"/>
        <v>30340</v>
      </c>
      <c r="O9" s="26">
        <f t="shared" si="5"/>
        <v>28675</v>
      </c>
      <c r="P9" s="26">
        <f t="shared" ref="P9:AB9" si="6">P5*P10</f>
        <v>32375</v>
      </c>
      <c r="Q9" s="26">
        <f>Q5*Q10</f>
        <v>29600</v>
      </c>
      <c r="R9" s="26">
        <f t="shared" si="6"/>
        <v>29877.5</v>
      </c>
      <c r="S9" s="26">
        <f t="shared" si="6"/>
        <v>31912.5</v>
      </c>
      <c r="T9" s="26">
        <f t="shared" si="6"/>
        <v>32745</v>
      </c>
      <c r="U9" s="26">
        <f t="shared" si="6"/>
        <v>32097.5</v>
      </c>
      <c r="V9" s="26">
        <f t="shared" si="6"/>
        <v>29450</v>
      </c>
      <c r="W9" s="26">
        <f t="shared" si="6"/>
        <v>29925</v>
      </c>
      <c r="X9" s="26">
        <f t="shared" si="6"/>
        <v>33250</v>
      </c>
      <c r="Y9" s="26">
        <f t="shared" si="6"/>
        <v>32110</v>
      </c>
      <c r="Z9" s="26">
        <f t="shared" si="6"/>
        <v>34390</v>
      </c>
      <c r="AA9" s="26">
        <f t="shared" si="6"/>
        <v>33915</v>
      </c>
      <c r="AB9" s="26">
        <f t="shared" si="6"/>
        <v>34417.5</v>
      </c>
      <c r="AC9" s="26">
        <f t="shared" ref="AC9:AO9" si="7">AC5*AC10</f>
        <v>36200</v>
      </c>
      <c r="AD9" s="26">
        <f>AD5*AD10</f>
        <v>36800</v>
      </c>
      <c r="AE9" s="26">
        <f t="shared" si="7"/>
        <v>37200</v>
      </c>
      <c r="AF9" s="26">
        <f t="shared" si="7"/>
        <v>34900</v>
      </c>
      <c r="AG9" s="26">
        <f t="shared" si="7"/>
        <v>37000</v>
      </c>
      <c r="AH9" s="26">
        <f t="shared" si="7"/>
        <v>36400</v>
      </c>
      <c r="AI9" s="26">
        <f t="shared" si="7"/>
        <v>38100</v>
      </c>
      <c r="AJ9" s="26">
        <f t="shared" si="7"/>
        <v>38900</v>
      </c>
      <c r="AK9" s="26">
        <f t="shared" si="7"/>
        <v>37200</v>
      </c>
      <c r="AL9" s="26">
        <f t="shared" si="7"/>
        <v>38000</v>
      </c>
      <c r="AM9" s="26">
        <f t="shared" si="7"/>
        <v>38500</v>
      </c>
      <c r="AN9" s="26">
        <f t="shared" si="7"/>
        <v>37400</v>
      </c>
      <c r="AO9" s="26">
        <f t="shared" si="7"/>
        <v>39000</v>
      </c>
      <c r="AP9" s="26">
        <f t="shared" ref="AP9:BB9" si="8">AP5*AP10</f>
        <v>35280</v>
      </c>
      <c r="AQ9" s="26">
        <f t="shared" si="8"/>
        <v>30120</v>
      </c>
      <c r="AR9" s="26">
        <f t="shared" si="8"/>
        <v>31680</v>
      </c>
      <c r="AS9" s="26">
        <f t="shared" si="8"/>
        <v>24280</v>
      </c>
      <c r="AT9" s="26">
        <f t="shared" si="8"/>
        <v>20408</v>
      </c>
      <c r="AU9" s="26">
        <f t="shared" si="8"/>
        <v>22128</v>
      </c>
      <c r="AV9" s="26">
        <f t="shared" si="8"/>
        <v>27300</v>
      </c>
      <c r="AW9" s="26">
        <f t="shared" si="8"/>
        <v>38248</v>
      </c>
      <c r="AX9" s="26">
        <f t="shared" si="8"/>
        <v>38000</v>
      </c>
      <c r="AY9" s="26">
        <f t="shared" si="8"/>
        <v>38800</v>
      </c>
      <c r="AZ9" s="26">
        <f t="shared" si="8"/>
        <v>40600</v>
      </c>
      <c r="BA9" s="26">
        <f t="shared" si="8"/>
        <v>39440</v>
      </c>
      <c r="BB9" s="26">
        <f t="shared" si="8"/>
        <v>38560</v>
      </c>
      <c r="BC9" s="26">
        <f ca="1">SUM(OFFSET($B9,0,1,1,Assumptions!$B$7))</f>
        <v>364480.5</v>
      </c>
      <c r="BD9" s="26">
        <f ca="1">SUM(OFFSET($B9,0,1+Assumptions!$B$7,1,SUM(Assumptions!$B$8)))</f>
        <v>416065</v>
      </c>
      <c r="BE9" s="26">
        <f ca="1">SUM(OFFSET($B9,0,1+SUM(Assumptions!$B$7:$B$8),1,SUM(Assumptions!$B$9)))</f>
        <v>485600</v>
      </c>
      <c r="BF9" s="26">
        <f ca="1">SUM(OFFSET($B9,0,1+SUM(Assumptions!$B$7:$B$9),1,SUM(Assumptions!$B$10)))</f>
        <v>424844</v>
      </c>
      <c r="BG9" s="26">
        <f ca="1">SUM(BC9:BF9)</f>
        <v>1690989.5</v>
      </c>
    </row>
    <row r="10" spans="1:59" s="27" customFormat="1" ht="15" customHeight="1" x14ac:dyDescent="0.35">
      <c r="A10" s="20"/>
      <c r="B10" s="27" t="s">
        <v>4</v>
      </c>
      <c r="C10" s="28">
        <v>0.35</v>
      </c>
      <c r="D10" s="28">
        <v>0.36</v>
      </c>
      <c r="E10" s="28">
        <v>0.35</v>
      </c>
      <c r="F10" s="28">
        <v>0.35</v>
      </c>
      <c r="G10" s="29">
        <v>0.36</v>
      </c>
      <c r="H10" s="29">
        <v>0.37</v>
      </c>
      <c r="I10" s="29">
        <v>0.37</v>
      </c>
      <c r="J10" s="29">
        <v>0.37</v>
      </c>
      <c r="K10" s="29">
        <v>0.37</v>
      </c>
      <c r="L10" s="29">
        <v>0.37</v>
      </c>
      <c r="M10" s="29">
        <v>0.37</v>
      </c>
      <c r="N10" s="29">
        <v>0.37</v>
      </c>
      <c r="O10" s="29">
        <v>0.37</v>
      </c>
      <c r="P10" s="29">
        <v>0.37</v>
      </c>
      <c r="Q10" s="29">
        <v>0.37</v>
      </c>
      <c r="R10" s="29">
        <v>0.37</v>
      </c>
      <c r="S10" s="29">
        <v>0.37</v>
      </c>
      <c r="T10" s="29">
        <v>0.37</v>
      </c>
      <c r="U10" s="29">
        <v>0.37</v>
      </c>
      <c r="V10" s="29">
        <v>0.38</v>
      </c>
      <c r="W10" s="29">
        <v>0.38</v>
      </c>
      <c r="X10" s="29">
        <v>0.38</v>
      </c>
      <c r="Y10" s="29">
        <v>0.38</v>
      </c>
      <c r="Z10" s="29">
        <v>0.38</v>
      </c>
      <c r="AA10" s="29">
        <v>0.38</v>
      </c>
      <c r="AB10" s="29">
        <v>0.39</v>
      </c>
      <c r="AC10" s="29">
        <v>0.4</v>
      </c>
      <c r="AD10" s="29">
        <v>0.4</v>
      </c>
      <c r="AE10" s="29">
        <v>0.4</v>
      </c>
      <c r="AF10" s="29">
        <v>0.4</v>
      </c>
      <c r="AG10" s="29">
        <v>0.4</v>
      </c>
      <c r="AH10" s="29">
        <v>0.4</v>
      </c>
      <c r="AI10" s="29">
        <v>0.4</v>
      </c>
      <c r="AJ10" s="29">
        <v>0.4</v>
      </c>
      <c r="AK10" s="29">
        <v>0.4</v>
      </c>
      <c r="AL10" s="29">
        <v>0.4</v>
      </c>
      <c r="AM10" s="29">
        <v>0.4</v>
      </c>
      <c r="AN10" s="29">
        <v>0.4</v>
      </c>
      <c r="AO10" s="29">
        <v>0.4</v>
      </c>
      <c r="AP10" s="29">
        <v>0.4</v>
      </c>
      <c r="AQ10" s="29">
        <v>0.4</v>
      </c>
      <c r="AR10" s="29">
        <v>0.4</v>
      </c>
      <c r="AS10" s="29">
        <v>0.4</v>
      </c>
      <c r="AT10" s="29">
        <v>0.4</v>
      </c>
      <c r="AU10" s="29">
        <v>0.4</v>
      </c>
      <c r="AV10" s="29">
        <v>0.4</v>
      </c>
      <c r="AW10" s="29">
        <v>0.4</v>
      </c>
      <c r="AX10" s="29">
        <v>0.4</v>
      </c>
      <c r="AY10" s="29">
        <v>0.4</v>
      </c>
      <c r="AZ10" s="29">
        <v>0.4</v>
      </c>
      <c r="BA10" s="29">
        <v>0.4</v>
      </c>
      <c r="BB10" s="29">
        <v>0.4</v>
      </c>
      <c r="BC10" s="29">
        <f ca="1">IF(BC5=0,0,BC9/BC5)</f>
        <v>0.36382561389498902</v>
      </c>
      <c r="BD10" s="29">
        <f ca="1">IF(BD5=0,0,BD9/BD5)</f>
        <v>0.37618896925858952</v>
      </c>
      <c r="BE10" s="29">
        <f ca="1">IF(BE5=0,0,BE9/BE5)</f>
        <v>0.4</v>
      </c>
      <c r="BF10" s="29">
        <f ca="1">IF(BF5=0,0,BF9/BF5)</f>
        <v>0.4</v>
      </c>
      <c r="BG10" s="29">
        <f ca="1">IF(BG5=0,0,BG9/BG5)</f>
        <v>0.38572632649849109</v>
      </c>
    </row>
    <row r="11" spans="1:59" ht="15" customHeight="1" x14ac:dyDescent="0.3">
      <c r="C11" s="25"/>
      <c r="D11" s="25"/>
      <c r="E11" s="25"/>
      <c r="F11" s="25"/>
      <c r="G11" s="25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ht="15" customHeight="1" x14ac:dyDescent="0.35">
      <c r="B12" s="2" t="s">
        <v>54</v>
      </c>
      <c r="C12" s="25"/>
      <c r="D12" s="25"/>
      <c r="E12" s="25"/>
      <c r="F12" s="25"/>
      <c r="G12" s="25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s="8" customFormat="1" ht="15" customHeight="1" x14ac:dyDescent="0.35">
      <c r="A13" s="20"/>
      <c r="B13" s="24" t="s">
        <v>5</v>
      </c>
      <c r="C13" s="25">
        <v>0</v>
      </c>
      <c r="D13" s="25">
        <v>0</v>
      </c>
      <c r="E13" s="25">
        <v>0</v>
      </c>
      <c r="F13" s="25">
        <v>0</v>
      </c>
      <c r="G13" s="25">
        <v>2000</v>
      </c>
      <c r="H13" s="25">
        <v>0</v>
      </c>
      <c r="I13" s="25">
        <v>0</v>
      </c>
      <c r="J13" s="25">
        <v>0</v>
      </c>
      <c r="K13" s="25">
        <v>2000</v>
      </c>
      <c r="L13" s="25">
        <v>0</v>
      </c>
      <c r="M13" s="25">
        <v>0</v>
      </c>
      <c r="N13" s="25">
        <v>0</v>
      </c>
      <c r="O13" s="25">
        <v>2000</v>
      </c>
      <c r="P13" s="25">
        <v>0</v>
      </c>
      <c r="Q13" s="25">
        <v>0</v>
      </c>
      <c r="R13" s="25">
        <v>0</v>
      </c>
      <c r="S13" s="25">
        <v>0</v>
      </c>
      <c r="T13" s="25">
        <v>2000</v>
      </c>
      <c r="U13" s="25">
        <v>0</v>
      </c>
      <c r="V13" s="25">
        <v>0</v>
      </c>
      <c r="W13" s="25">
        <v>0</v>
      </c>
      <c r="X13" s="25">
        <v>2000</v>
      </c>
      <c r="Y13" s="25">
        <v>0</v>
      </c>
      <c r="Z13" s="25">
        <v>0</v>
      </c>
      <c r="AA13" s="25">
        <v>0</v>
      </c>
      <c r="AB13" s="25">
        <v>2000</v>
      </c>
      <c r="AC13" s="25">
        <v>0</v>
      </c>
      <c r="AD13" s="25">
        <v>0</v>
      </c>
      <c r="AE13" s="25">
        <v>0</v>
      </c>
      <c r="AF13" s="25">
        <v>0</v>
      </c>
      <c r="AG13" s="25">
        <v>2000</v>
      </c>
      <c r="AH13" s="25">
        <v>0</v>
      </c>
      <c r="AI13" s="25">
        <v>0</v>
      </c>
      <c r="AJ13" s="25">
        <v>0</v>
      </c>
      <c r="AK13" s="25">
        <v>2000</v>
      </c>
      <c r="AL13" s="25">
        <v>0</v>
      </c>
      <c r="AM13" s="25">
        <v>0</v>
      </c>
      <c r="AN13" s="25">
        <v>0</v>
      </c>
      <c r="AO13" s="25">
        <v>2000</v>
      </c>
      <c r="AP13" s="25">
        <v>0</v>
      </c>
      <c r="AQ13" s="25">
        <v>0</v>
      </c>
      <c r="AR13" s="25">
        <v>0</v>
      </c>
      <c r="AS13" s="25">
        <v>0</v>
      </c>
      <c r="AT13" s="25">
        <v>2000</v>
      </c>
      <c r="AU13" s="25">
        <v>0</v>
      </c>
      <c r="AV13" s="25">
        <v>0</v>
      </c>
      <c r="AW13" s="25">
        <v>0</v>
      </c>
      <c r="AX13" s="25">
        <v>2000</v>
      </c>
      <c r="AY13" s="25">
        <v>0</v>
      </c>
      <c r="AZ13" s="25">
        <v>0</v>
      </c>
      <c r="BA13" s="25">
        <v>0</v>
      </c>
      <c r="BB13" s="25">
        <v>2000</v>
      </c>
      <c r="BC13" s="26">
        <f ca="1">SUM(OFFSET($B13,0,1,1,Assumptions!$B$7))</f>
        <v>6000</v>
      </c>
      <c r="BD13" s="26">
        <f ca="1">SUM(OFFSET($B13,0,1+Assumptions!$B$7,1,SUM(Assumptions!$B$8)))</f>
        <v>6000</v>
      </c>
      <c r="BE13" s="26">
        <f ca="1">SUM(OFFSET($B13,0,1+SUM(Assumptions!$B$7:$B$8),1,SUM(Assumptions!$B$9)))</f>
        <v>6000</v>
      </c>
      <c r="BF13" s="26">
        <f ca="1">SUM(OFFSET($B13,0,1+SUM(Assumptions!$B$7:$B$9),1,SUM(Assumptions!$B$10)))</f>
        <v>6000</v>
      </c>
      <c r="BG13" s="26">
        <f t="shared" ref="BG13:BG35" ca="1" si="9">SUM(BC13:BF13)</f>
        <v>24000</v>
      </c>
    </row>
    <row r="14" spans="1:59" s="8" customFormat="1" ht="15" customHeight="1" x14ac:dyDescent="0.35">
      <c r="A14" s="20"/>
      <c r="B14" s="24" t="s">
        <v>18</v>
      </c>
      <c r="C14" s="25">
        <v>0</v>
      </c>
      <c r="D14" s="25">
        <v>0</v>
      </c>
      <c r="E14" s="25">
        <v>0</v>
      </c>
      <c r="F14" s="25">
        <v>0</v>
      </c>
      <c r="G14" s="25">
        <v>5000</v>
      </c>
      <c r="H14" s="25">
        <v>0</v>
      </c>
      <c r="I14" s="25">
        <v>0</v>
      </c>
      <c r="J14" s="25">
        <v>0</v>
      </c>
      <c r="K14" s="25">
        <v>5000</v>
      </c>
      <c r="L14" s="25">
        <v>0</v>
      </c>
      <c r="M14" s="25">
        <v>0</v>
      </c>
      <c r="N14" s="25">
        <v>0</v>
      </c>
      <c r="O14" s="25">
        <v>25000</v>
      </c>
      <c r="P14" s="25">
        <v>0</v>
      </c>
      <c r="Q14" s="25">
        <v>0</v>
      </c>
      <c r="R14" s="25">
        <v>0</v>
      </c>
      <c r="S14" s="25">
        <v>0</v>
      </c>
      <c r="T14" s="25">
        <v>5000</v>
      </c>
      <c r="U14" s="25">
        <v>0</v>
      </c>
      <c r="V14" s="25">
        <v>0</v>
      </c>
      <c r="W14" s="25">
        <v>0</v>
      </c>
      <c r="X14" s="25">
        <v>5000</v>
      </c>
      <c r="Y14" s="25">
        <v>0</v>
      </c>
      <c r="Z14" s="25">
        <v>0</v>
      </c>
      <c r="AA14" s="25">
        <v>0</v>
      </c>
      <c r="AB14" s="25">
        <v>15000</v>
      </c>
      <c r="AC14" s="25">
        <v>0</v>
      </c>
      <c r="AD14" s="25">
        <v>0</v>
      </c>
      <c r="AE14" s="25">
        <v>0</v>
      </c>
      <c r="AF14" s="25">
        <v>0</v>
      </c>
      <c r="AG14" s="25">
        <v>5000</v>
      </c>
      <c r="AH14" s="25">
        <v>0</v>
      </c>
      <c r="AI14" s="25">
        <v>0</v>
      </c>
      <c r="AJ14" s="25">
        <v>0</v>
      </c>
      <c r="AK14" s="25">
        <v>8000</v>
      </c>
      <c r="AL14" s="25">
        <v>0</v>
      </c>
      <c r="AM14" s="25">
        <v>0</v>
      </c>
      <c r="AN14" s="25">
        <v>0</v>
      </c>
      <c r="AO14" s="25">
        <v>18000</v>
      </c>
      <c r="AP14" s="25">
        <v>0</v>
      </c>
      <c r="AQ14" s="25">
        <v>0</v>
      </c>
      <c r="AR14" s="25">
        <v>0</v>
      </c>
      <c r="AS14" s="25">
        <v>0</v>
      </c>
      <c r="AT14" s="25">
        <v>5000</v>
      </c>
      <c r="AU14" s="25">
        <v>0</v>
      </c>
      <c r="AV14" s="25">
        <v>0</v>
      </c>
      <c r="AW14" s="25">
        <v>0</v>
      </c>
      <c r="AX14" s="25">
        <v>8000</v>
      </c>
      <c r="AY14" s="25">
        <v>0</v>
      </c>
      <c r="AZ14" s="25">
        <v>0</v>
      </c>
      <c r="BA14" s="25">
        <v>0</v>
      </c>
      <c r="BB14" s="25">
        <v>22000</v>
      </c>
      <c r="BC14" s="26">
        <f ca="1">SUM(OFFSET($B14,0,1,1,Assumptions!$B$7))</f>
        <v>35000</v>
      </c>
      <c r="BD14" s="26">
        <f ca="1">SUM(OFFSET($B14,0,1+Assumptions!$B$7,1,SUM(Assumptions!$B$8)))</f>
        <v>25000</v>
      </c>
      <c r="BE14" s="26">
        <f ca="1">SUM(OFFSET($B14,0,1+SUM(Assumptions!$B$7:$B$8),1,SUM(Assumptions!$B$9)))</f>
        <v>31000</v>
      </c>
      <c r="BF14" s="26">
        <f ca="1">SUM(OFFSET($B14,0,1+SUM(Assumptions!$B$7:$B$9),1,SUM(Assumptions!$B$10)))</f>
        <v>35000</v>
      </c>
      <c r="BG14" s="26">
        <f t="shared" ca="1" si="9"/>
        <v>126000</v>
      </c>
    </row>
    <row r="15" spans="1:59" s="8" customFormat="1" ht="15" customHeight="1" x14ac:dyDescent="0.35">
      <c r="A15" s="20"/>
      <c r="B15" s="24" t="s">
        <v>6</v>
      </c>
      <c r="C15" s="25">
        <v>0</v>
      </c>
      <c r="D15" s="25">
        <v>0</v>
      </c>
      <c r="E15" s="25">
        <v>0</v>
      </c>
      <c r="F15" s="25">
        <v>0</v>
      </c>
      <c r="G15" s="25">
        <v>250</v>
      </c>
      <c r="H15" s="25">
        <v>0</v>
      </c>
      <c r="I15" s="25">
        <v>0</v>
      </c>
      <c r="J15" s="25">
        <v>0</v>
      </c>
      <c r="K15" s="25">
        <v>250</v>
      </c>
      <c r="L15" s="25">
        <v>0</v>
      </c>
      <c r="M15" s="25">
        <v>0</v>
      </c>
      <c r="N15" s="25">
        <v>0</v>
      </c>
      <c r="O15" s="25">
        <v>250</v>
      </c>
      <c r="P15" s="25">
        <v>0</v>
      </c>
      <c r="Q15" s="25">
        <v>0</v>
      </c>
      <c r="R15" s="25">
        <v>0</v>
      </c>
      <c r="S15" s="25">
        <v>0</v>
      </c>
      <c r="T15" s="25">
        <v>500</v>
      </c>
      <c r="U15" s="25">
        <v>0</v>
      </c>
      <c r="V15" s="25">
        <v>0</v>
      </c>
      <c r="W15" s="25">
        <v>0</v>
      </c>
      <c r="X15" s="25">
        <v>500</v>
      </c>
      <c r="Y15" s="25">
        <v>0</v>
      </c>
      <c r="Z15" s="25">
        <v>0</v>
      </c>
      <c r="AA15" s="25">
        <v>0</v>
      </c>
      <c r="AB15" s="25">
        <v>500</v>
      </c>
      <c r="AC15" s="25">
        <v>0</v>
      </c>
      <c r="AD15" s="25">
        <v>0</v>
      </c>
      <c r="AE15" s="25">
        <v>0</v>
      </c>
      <c r="AF15" s="25">
        <v>0</v>
      </c>
      <c r="AG15" s="25">
        <v>500</v>
      </c>
      <c r="AH15" s="25">
        <v>0</v>
      </c>
      <c r="AI15" s="25">
        <v>0</v>
      </c>
      <c r="AJ15" s="25">
        <v>0</v>
      </c>
      <c r="AK15" s="25">
        <v>500</v>
      </c>
      <c r="AL15" s="25">
        <v>0</v>
      </c>
      <c r="AM15" s="25">
        <v>0</v>
      </c>
      <c r="AN15" s="25">
        <v>0</v>
      </c>
      <c r="AO15" s="25">
        <v>500</v>
      </c>
      <c r="AP15" s="25">
        <v>0</v>
      </c>
      <c r="AQ15" s="25">
        <v>0</v>
      </c>
      <c r="AR15" s="25">
        <v>0</v>
      </c>
      <c r="AS15" s="25">
        <v>0</v>
      </c>
      <c r="AT15" s="25">
        <v>500</v>
      </c>
      <c r="AU15" s="25">
        <v>0</v>
      </c>
      <c r="AV15" s="25">
        <v>0</v>
      </c>
      <c r="AW15" s="25">
        <v>0</v>
      </c>
      <c r="AX15" s="25">
        <v>500</v>
      </c>
      <c r="AY15" s="25">
        <v>0</v>
      </c>
      <c r="AZ15" s="25">
        <v>0</v>
      </c>
      <c r="BA15" s="25">
        <v>0</v>
      </c>
      <c r="BB15" s="25">
        <v>500</v>
      </c>
      <c r="BC15" s="26">
        <f ca="1">SUM(OFFSET($B15,0,1,1,Assumptions!$B$7))</f>
        <v>750</v>
      </c>
      <c r="BD15" s="26">
        <f ca="1">SUM(OFFSET($B15,0,1+Assumptions!$B$7,1,SUM(Assumptions!$B$8)))</f>
        <v>1500</v>
      </c>
      <c r="BE15" s="26">
        <f ca="1">SUM(OFFSET($B15,0,1+SUM(Assumptions!$B$7:$B$8),1,SUM(Assumptions!$B$9)))</f>
        <v>1500</v>
      </c>
      <c r="BF15" s="26">
        <f ca="1">SUM(OFFSET($B15,0,1+SUM(Assumptions!$B$7:$B$9),1,SUM(Assumptions!$B$10)))</f>
        <v>1500</v>
      </c>
      <c r="BG15" s="26">
        <f t="shared" ca="1" si="9"/>
        <v>5250</v>
      </c>
    </row>
    <row r="16" spans="1:59" s="8" customFormat="1" ht="15" customHeight="1" x14ac:dyDescent="0.35">
      <c r="A16" s="20"/>
      <c r="B16" s="24" t="s">
        <v>19</v>
      </c>
      <c r="C16" s="25">
        <v>0</v>
      </c>
      <c r="D16" s="25">
        <v>0</v>
      </c>
      <c r="E16" s="25">
        <v>800</v>
      </c>
      <c r="F16" s="25">
        <v>0</v>
      </c>
      <c r="G16" s="25">
        <v>0</v>
      </c>
      <c r="H16" s="25">
        <v>0</v>
      </c>
      <c r="I16" s="25">
        <v>0</v>
      </c>
      <c r="J16" s="25">
        <v>860</v>
      </c>
      <c r="K16" s="25">
        <v>0</v>
      </c>
      <c r="L16" s="25">
        <v>0</v>
      </c>
      <c r="M16" s="25">
        <v>860</v>
      </c>
      <c r="N16" s="25">
        <v>0</v>
      </c>
      <c r="O16" s="25">
        <v>0</v>
      </c>
      <c r="P16" s="25">
        <v>0</v>
      </c>
      <c r="Q16" s="25">
        <v>0</v>
      </c>
      <c r="R16" s="25">
        <v>920</v>
      </c>
      <c r="S16" s="25">
        <v>0</v>
      </c>
      <c r="T16" s="25">
        <v>0</v>
      </c>
      <c r="U16" s="25">
        <v>0</v>
      </c>
      <c r="V16" s="25">
        <v>920</v>
      </c>
      <c r="W16" s="25">
        <v>0</v>
      </c>
      <c r="X16" s="25">
        <v>0</v>
      </c>
      <c r="Y16" s="25">
        <v>0</v>
      </c>
      <c r="Z16" s="25">
        <v>945</v>
      </c>
      <c r="AA16" s="25">
        <v>0</v>
      </c>
      <c r="AB16" s="25">
        <v>0</v>
      </c>
      <c r="AC16" s="25">
        <v>0</v>
      </c>
      <c r="AD16" s="25">
        <v>0</v>
      </c>
      <c r="AE16" s="25">
        <v>950</v>
      </c>
      <c r="AF16" s="25">
        <v>0</v>
      </c>
      <c r="AG16" s="25">
        <v>0</v>
      </c>
      <c r="AH16" s="25">
        <v>0</v>
      </c>
      <c r="AI16" s="25">
        <v>950</v>
      </c>
      <c r="AJ16" s="25">
        <v>0</v>
      </c>
      <c r="AK16" s="25">
        <v>0</v>
      </c>
      <c r="AL16" s="25">
        <v>0</v>
      </c>
      <c r="AM16" s="25">
        <v>950</v>
      </c>
      <c r="AN16" s="25">
        <v>0</v>
      </c>
      <c r="AO16" s="25">
        <v>0</v>
      </c>
      <c r="AP16" s="25">
        <v>0</v>
      </c>
      <c r="AQ16" s="25">
        <v>0</v>
      </c>
      <c r="AR16" s="25">
        <v>950</v>
      </c>
      <c r="AS16" s="25">
        <v>0</v>
      </c>
      <c r="AT16" s="25">
        <v>0</v>
      </c>
      <c r="AU16" s="25">
        <v>0</v>
      </c>
      <c r="AV16" s="25">
        <v>950</v>
      </c>
      <c r="AW16" s="25">
        <v>0</v>
      </c>
      <c r="AX16" s="25">
        <v>0</v>
      </c>
      <c r="AY16" s="25">
        <v>0</v>
      </c>
      <c r="AZ16" s="25">
        <v>970</v>
      </c>
      <c r="BA16" s="25">
        <v>0</v>
      </c>
      <c r="BB16" s="25">
        <v>0</v>
      </c>
      <c r="BC16" s="26">
        <f ca="1">SUM(OFFSET($B16,0,1,1,Assumptions!$B$7))</f>
        <v>2520</v>
      </c>
      <c r="BD16" s="26">
        <f ca="1">SUM(OFFSET($B16,0,1+Assumptions!$B$7,1,SUM(Assumptions!$B$8)))</f>
        <v>2785</v>
      </c>
      <c r="BE16" s="26">
        <f ca="1">SUM(OFFSET($B16,0,1+SUM(Assumptions!$B$7:$B$8),1,SUM(Assumptions!$B$9)))</f>
        <v>2850</v>
      </c>
      <c r="BF16" s="26">
        <f ca="1">SUM(OFFSET($B16,0,1+SUM(Assumptions!$B$7:$B$9),1,SUM(Assumptions!$B$10)))</f>
        <v>2870</v>
      </c>
      <c r="BG16" s="26">
        <f t="shared" ca="1" si="9"/>
        <v>11025</v>
      </c>
    </row>
    <row r="17" spans="1:59" s="8" customFormat="1" ht="15" customHeight="1" x14ac:dyDescent="0.35">
      <c r="A17" s="20"/>
      <c r="B17" s="24" t="s">
        <v>7</v>
      </c>
      <c r="C17" s="25">
        <v>0</v>
      </c>
      <c r="D17" s="25">
        <v>0</v>
      </c>
      <c r="E17" s="25">
        <v>0</v>
      </c>
      <c r="F17" s="25">
        <v>0</v>
      </c>
      <c r="G17" s="25">
        <v>3800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1285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854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4200</v>
      </c>
      <c r="AY17" s="25">
        <v>0</v>
      </c>
      <c r="AZ17" s="25">
        <v>0</v>
      </c>
      <c r="BA17" s="25">
        <v>0</v>
      </c>
      <c r="BB17" s="25">
        <v>0</v>
      </c>
      <c r="BC17" s="26">
        <f ca="1">SUM(OFFSET($B17,0,1,1,Assumptions!$B$7))</f>
        <v>3800</v>
      </c>
      <c r="BD17" s="26">
        <f ca="1">SUM(OFFSET($B17,0,1+Assumptions!$B$7,1,SUM(Assumptions!$B$8)))</f>
        <v>1285</v>
      </c>
      <c r="BE17" s="26">
        <f ca="1">SUM(OFFSET($B17,0,1+SUM(Assumptions!$B$7:$B$8),1,SUM(Assumptions!$B$9)))</f>
        <v>854</v>
      </c>
      <c r="BF17" s="26">
        <f ca="1">SUM(OFFSET($B17,0,1+SUM(Assumptions!$B$7:$B$9),1,SUM(Assumptions!$B$10)))</f>
        <v>4200</v>
      </c>
      <c r="BG17" s="26">
        <f t="shared" ca="1" si="9"/>
        <v>10139</v>
      </c>
    </row>
    <row r="18" spans="1:59" s="8" customFormat="1" ht="15" customHeight="1" x14ac:dyDescent="0.35">
      <c r="A18" s="20"/>
      <c r="B18" s="24" t="s">
        <v>25</v>
      </c>
      <c r="C18" s="25">
        <v>1250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759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567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764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3556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987</v>
      </c>
      <c r="BC18" s="26">
        <f ca="1">SUM(OFFSET($B18,0,1,1,Assumptions!$B$7))</f>
        <v>2009</v>
      </c>
      <c r="BD18" s="26">
        <f ca="1">SUM(OFFSET($B18,0,1+Assumptions!$B$7,1,SUM(Assumptions!$B$8)))</f>
        <v>567</v>
      </c>
      <c r="BE18" s="26">
        <f ca="1">SUM(OFFSET($B18,0,1+SUM(Assumptions!$B$7:$B$8),1,SUM(Assumptions!$B$9)))</f>
        <v>764</v>
      </c>
      <c r="BF18" s="26">
        <f ca="1">SUM(OFFSET($B18,0,1+SUM(Assumptions!$B$7:$B$9),1,SUM(Assumptions!$B$10)))</f>
        <v>4543</v>
      </c>
      <c r="BG18" s="26">
        <f t="shared" ca="1" si="9"/>
        <v>7883</v>
      </c>
    </row>
    <row r="19" spans="1:59" s="8" customFormat="1" ht="15" customHeight="1" x14ac:dyDescent="0.35">
      <c r="A19" s="20"/>
      <c r="B19" s="24" t="s">
        <v>9</v>
      </c>
      <c r="C19" s="25">
        <v>0</v>
      </c>
      <c r="D19" s="25">
        <v>0</v>
      </c>
      <c r="E19" s="25">
        <v>0</v>
      </c>
      <c r="F19" s="25">
        <v>0</v>
      </c>
      <c r="G19" s="25">
        <v>1000</v>
      </c>
      <c r="H19" s="25">
        <v>0</v>
      </c>
      <c r="I19" s="25">
        <v>0</v>
      </c>
      <c r="J19" s="25">
        <v>0</v>
      </c>
      <c r="K19" s="25">
        <v>1000</v>
      </c>
      <c r="L19" s="25">
        <v>0</v>
      </c>
      <c r="M19" s="25">
        <v>0</v>
      </c>
      <c r="N19" s="25">
        <v>0</v>
      </c>
      <c r="O19" s="25">
        <v>1000</v>
      </c>
      <c r="P19" s="25">
        <v>0</v>
      </c>
      <c r="Q19" s="25">
        <v>0</v>
      </c>
      <c r="R19" s="25">
        <v>0</v>
      </c>
      <c r="S19" s="25">
        <v>0</v>
      </c>
      <c r="T19" s="25">
        <v>1000</v>
      </c>
      <c r="U19" s="25">
        <v>0</v>
      </c>
      <c r="V19" s="25">
        <v>0</v>
      </c>
      <c r="W19" s="25">
        <v>0</v>
      </c>
      <c r="X19" s="25">
        <v>1000</v>
      </c>
      <c r="Y19" s="25">
        <v>0</v>
      </c>
      <c r="Z19" s="25">
        <v>0</v>
      </c>
      <c r="AA19" s="25">
        <v>0</v>
      </c>
      <c r="AB19" s="25">
        <v>1000</v>
      </c>
      <c r="AC19" s="25">
        <v>0</v>
      </c>
      <c r="AD19" s="25">
        <v>0</v>
      </c>
      <c r="AE19" s="25">
        <v>0</v>
      </c>
      <c r="AF19" s="25">
        <v>0</v>
      </c>
      <c r="AG19" s="25">
        <v>1000</v>
      </c>
      <c r="AH19" s="25">
        <v>0</v>
      </c>
      <c r="AI19" s="25">
        <v>0</v>
      </c>
      <c r="AJ19" s="25">
        <v>0</v>
      </c>
      <c r="AK19" s="25">
        <v>1000</v>
      </c>
      <c r="AL19" s="25">
        <v>0</v>
      </c>
      <c r="AM19" s="25">
        <v>0</v>
      </c>
      <c r="AN19" s="25">
        <v>0</v>
      </c>
      <c r="AO19" s="25">
        <v>1000</v>
      </c>
      <c r="AP19" s="25">
        <v>0</v>
      </c>
      <c r="AQ19" s="25">
        <v>0</v>
      </c>
      <c r="AR19" s="25">
        <v>0</v>
      </c>
      <c r="AS19" s="25">
        <v>0</v>
      </c>
      <c r="AT19" s="25">
        <v>1000</v>
      </c>
      <c r="AU19" s="25">
        <v>0</v>
      </c>
      <c r="AV19" s="25">
        <v>0</v>
      </c>
      <c r="AW19" s="25">
        <v>0</v>
      </c>
      <c r="AX19" s="25">
        <v>1000</v>
      </c>
      <c r="AY19" s="25">
        <v>0</v>
      </c>
      <c r="AZ19" s="25">
        <v>0</v>
      </c>
      <c r="BA19" s="25">
        <v>0</v>
      </c>
      <c r="BB19" s="25">
        <v>1000</v>
      </c>
      <c r="BC19" s="26">
        <f ca="1">SUM(OFFSET($B19,0,1,1,Assumptions!$B$7))</f>
        <v>3000</v>
      </c>
      <c r="BD19" s="26">
        <f ca="1">SUM(OFFSET($B19,0,1+Assumptions!$B$7,1,SUM(Assumptions!$B$8)))</f>
        <v>3000</v>
      </c>
      <c r="BE19" s="26">
        <f ca="1">SUM(OFFSET($B19,0,1+SUM(Assumptions!$B$7:$B$8),1,SUM(Assumptions!$B$9)))</f>
        <v>3000</v>
      </c>
      <c r="BF19" s="26">
        <f ca="1">SUM(OFFSET($B19,0,1+SUM(Assumptions!$B$7:$B$9),1,SUM(Assumptions!$B$10)))</f>
        <v>3000</v>
      </c>
      <c r="BG19" s="26">
        <f t="shared" ca="1" si="9"/>
        <v>12000</v>
      </c>
    </row>
    <row r="20" spans="1:59" s="8" customFormat="1" ht="15" customHeight="1" x14ac:dyDescent="0.35">
      <c r="A20" s="20"/>
      <c r="B20" s="24" t="s">
        <v>10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12000</v>
      </c>
      <c r="T20" s="25"/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22000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6">
        <f ca="1">SUM(OFFSET($B20,0,1,1,Assumptions!$B$7))</f>
        <v>0</v>
      </c>
      <c r="BD20" s="26">
        <f ca="1">SUM(OFFSET($B20,0,1+Assumptions!$B$7,1,SUM(Assumptions!$B$8)))</f>
        <v>12000</v>
      </c>
      <c r="BE20" s="26">
        <f ca="1">SUM(OFFSET($B20,0,1+SUM(Assumptions!$B$7:$B$8),1,SUM(Assumptions!$B$9)))</f>
        <v>0</v>
      </c>
      <c r="BF20" s="26">
        <f ca="1">SUM(OFFSET($B20,0,1+SUM(Assumptions!$B$7:$B$9),1,SUM(Assumptions!$B$10)))</f>
        <v>22000</v>
      </c>
      <c r="BG20" s="26">
        <f t="shared" ca="1" si="9"/>
        <v>34000</v>
      </c>
    </row>
    <row r="21" spans="1:59" s="8" customFormat="1" ht="15" customHeight="1" x14ac:dyDescent="0.35">
      <c r="A21" s="20"/>
      <c r="B21" s="24" t="s">
        <v>23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8000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10000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6">
        <f ca="1">SUM(OFFSET($B21,0,1,1,Assumptions!$B$7))</f>
        <v>8000</v>
      </c>
      <c r="BD21" s="26">
        <f ca="1">SUM(OFFSET($B21,0,1+Assumptions!$B$7,1,SUM(Assumptions!$B$8)))</f>
        <v>0</v>
      </c>
      <c r="BE21" s="26">
        <f ca="1">SUM(OFFSET($B21,0,1+SUM(Assumptions!$B$7:$B$8),1,SUM(Assumptions!$B$9)))</f>
        <v>10000</v>
      </c>
      <c r="BF21" s="26">
        <f ca="1">SUM(OFFSET($B21,0,1+SUM(Assumptions!$B$7:$B$9),1,SUM(Assumptions!$B$10)))</f>
        <v>0</v>
      </c>
      <c r="BG21" s="26">
        <f t="shared" ca="1" si="9"/>
        <v>18000</v>
      </c>
    </row>
    <row r="22" spans="1:59" s="8" customFormat="1" ht="15" customHeight="1" x14ac:dyDescent="0.35">
      <c r="A22" s="20"/>
      <c r="B22" s="24" t="s">
        <v>11</v>
      </c>
      <c r="C22" s="25">
        <v>2000</v>
      </c>
      <c r="D22" s="25">
        <v>0</v>
      </c>
      <c r="E22" s="25">
        <v>0</v>
      </c>
      <c r="F22" s="25">
        <v>0</v>
      </c>
      <c r="G22" s="25">
        <v>0</v>
      </c>
      <c r="H22" s="25">
        <v>2000</v>
      </c>
      <c r="I22" s="25">
        <v>0</v>
      </c>
      <c r="J22" s="25">
        <v>0</v>
      </c>
      <c r="K22" s="25">
        <v>0</v>
      </c>
      <c r="L22" s="25">
        <v>2000</v>
      </c>
      <c r="M22" s="25">
        <v>0</v>
      </c>
      <c r="N22" s="25">
        <v>0</v>
      </c>
      <c r="O22" s="25">
        <v>0</v>
      </c>
      <c r="P22" s="25">
        <v>2000</v>
      </c>
      <c r="Q22" s="25">
        <v>0</v>
      </c>
      <c r="R22" s="25">
        <v>0</v>
      </c>
      <c r="S22" s="25">
        <v>0</v>
      </c>
      <c r="T22" s="25">
        <v>0</v>
      </c>
      <c r="U22" s="25">
        <v>2000</v>
      </c>
      <c r="V22" s="25">
        <v>0</v>
      </c>
      <c r="W22" s="25">
        <v>0</v>
      </c>
      <c r="X22" s="25">
        <v>0</v>
      </c>
      <c r="Y22" s="25">
        <v>2000</v>
      </c>
      <c r="Z22" s="25">
        <v>0</v>
      </c>
      <c r="AA22" s="25">
        <v>0</v>
      </c>
      <c r="AB22" s="25">
        <v>0</v>
      </c>
      <c r="AC22" s="25">
        <v>2000</v>
      </c>
      <c r="AD22" s="25">
        <v>0</v>
      </c>
      <c r="AE22" s="25">
        <v>0</v>
      </c>
      <c r="AF22" s="25">
        <v>0</v>
      </c>
      <c r="AG22" s="25">
        <v>0</v>
      </c>
      <c r="AH22" s="25">
        <v>2000</v>
      </c>
      <c r="AI22" s="25">
        <v>0</v>
      </c>
      <c r="AJ22" s="25">
        <v>0</v>
      </c>
      <c r="AK22" s="25">
        <v>0</v>
      </c>
      <c r="AL22" s="25">
        <v>2000</v>
      </c>
      <c r="AM22" s="25">
        <v>0</v>
      </c>
      <c r="AN22" s="25">
        <v>0</v>
      </c>
      <c r="AO22" s="25">
        <v>0</v>
      </c>
      <c r="AP22" s="25">
        <v>0</v>
      </c>
      <c r="AQ22" s="25">
        <v>2000</v>
      </c>
      <c r="AR22" s="25">
        <v>0</v>
      </c>
      <c r="AS22" s="25">
        <v>0</v>
      </c>
      <c r="AT22" s="25">
        <v>0</v>
      </c>
      <c r="AU22" s="25">
        <v>2000</v>
      </c>
      <c r="AV22" s="25">
        <v>0</v>
      </c>
      <c r="AW22" s="25">
        <v>0</v>
      </c>
      <c r="AX22" s="25">
        <v>0</v>
      </c>
      <c r="AY22" s="25">
        <v>2000</v>
      </c>
      <c r="AZ22" s="25">
        <v>0</v>
      </c>
      <c r="BA22" s="25">
        <v>0</v>
      </c>
      <c r="BB22" s="25">
        <v>0</v>
      </c>
      <c r="BC22" s="26">
        <f ca="1">SUM(OFFSET($B22,0,1,1,Assumptions!$B$7))</f>
        <v>6000</v>
      </c>
      <c r="BD22" s="26">
        <f ca="1">SUM(OFFSET($B22,0,1+Assumptions!$B$7,1,SUM(Assumptions!$B$8)))</f>
        <v>6000</v>
      </c>
      <c r="BE22" s="26">
        <f ca="1">SUM(OFFSET($B22,0,1+SUM(Assumptions!$B$7:$B$8),1,SUM(Assumptions!$B$9)))</f>
        <v>6000</v>
      </c>
      <c r="BF22" s="26">
        <f ca="1">SUM(OFFSET($B22,0,1+SUM(Assumptions!$B$7:$B$9),1,SUM(Assumptions!$B$10)))</f>
        <v>6000</v>
      </c>
      <c r="BG22" s="26">
        <f t="shared" ca="1" si="9"/>
        <v>24000</v>
      </c>
    </row>
    <row r="23" spans="1:59" s="8" customFormat="1" ht="15" customHeight="1" x14ac:dyDescent="0.35">
      <c r="A23" s="20"/>
      <c r="B23" s="24" t="s">
        <v>26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12340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22000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14000</v>
      </c>
      <c r="BB23" s="25">
        <v>0</v>
      </c>
      <c r="BC23" s="26">
        <f ca="1">SUM(OFFSET($B23,0,1,1,Assumptions!$B$7))</f>
        <v>0</v>
      </c>
      <c r="BD23" s="26">
        <f ca="1">SUM(OFFSET($B23,0,1+Assumptions!$B$7,1,SUM(Assumptions!$B$8)))</f>
        <v>12340</v>
      </c>
      <c r="BE23" s="26">
        <f ca="1">SUM(OFFSET($B23,0,1+SUM(Assumptions!$B$7:$B$8),1,SUM(Assumptions!$B$9)))</f>
        <v>22000</v>
      </c>
      <c r="BF23" s="26">
        <f ca="1">SUM(OFFSET($B23,0,1+SUM(Assumptions!$B$7:$B$9),1,SUM(Assumptions!$B$10)))</f>
        <v>14000</v>
      </c>
      <c r="BG23" s="26">
        <f t="shared" ca="1" si="9"/>
        <v>48340</v>
      </c>
    </row>
    <row r="24" spans="1:59" s="8" customFormat="1" ht="15" customHeight="1" x14ac:dyDescent="0.35">
      <c r="A24" s="20"/>
      <c r="B24" s="24" t="s">
        <v>22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1800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9000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3200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6">
        <f ca="1">SUM(OFFSET($B24,0,1,1,Assumptions!$B$7))</f>
        <v>1800</v>
      </c>
      <c r="BD24" s="26">
        <f ca="1">SUM(OFFSET($B24,0,1+Assumptions!$B$7,1,SUM(Assumptions!$B$8)))</f>
        <v>9000</v>
      </c>
      <c r="BE24" s="26">
        <f ca="1">SUM(OFFSET($B24,0,1+SUM(Assumptions!$B$7:$B$8),1,SUM(Assumptions!$B$9)))</f>
        <v>0</v>
      </c>
      <c r="BF24" s="26">
        <f ca="1">SUM(OFFSET($B24,0,1+SUM(Assumptions!$B$7:$B$9),1,SUM(Assumptions!$B$10)))</f>
        <v>3200</v>
      </c>
      <c r="BG24" s="26">
        <f t="shared" ca="1" si="9"/>
        <v>14000</v>
      </c>
    </row>
    <row r="25" spans="1:59" s="8" customFormat="1" ht="15" customHeight="1" x14ac:dyDescent="0.35">
      <c r="A25" s="20"/>
      <c r="B25" s="24" t="s">
        <v>21</v>
      </c>
      <c r="C25" s="25">
        <v>0</v>
      </c>
      <c r="D25" s="25">
        <v>0</v>
      </c>
      <c r="E25" s="25">
        <v>0</v>
      </c>
      <c r="F25" s="25">
        <v>0</v>
      </c>
      <c r="G25" s="25">
        <v>100</v>
      </c>
      <c r="H25" s="25">
        <v>0</v>
      </c>
      <c r="I25" s="25">
        <v>0</v>
      </c>
      <c r="J25" s="25">
        <v>0</v>
      </c>
      <c r="K25" s="25">
        <v>100</v>
      </c>
      <c r="L25" s="25">
        <v>0</v>
      </c>
      <c r="M25" s="25">
        <v>0</v>
      </c>
      <c r="N25" s="25">
        <v>0</v>
      </c>
      <c r="O25" s="25">
        <v>100</v>
      </c>
      <c r="P25" s="25">
        <v>0</v>
      </c>
      <c r="Q25" s="25">
        <v>0</v>
      </c>
      <c r="R25" s="25">
        <v>0</v>
      </c>
      <c r="S25" s="25">
        <v>0</v>
      </c>
      <c r="T25" s="25">
        <v>100</v>
      </c>
      <c r="U25" s="25">
        <v>0</v>
      </c>
      <c r="V25" s="25">
        <v>0</v>
      </c>
      <c r="W25" s="25">
        <v>0</v>
      </c>
      <c r="X25" s="25">
        <v>100</v>
      </c>
      <c r="Y25" s="25">
        <v>0</v>
      </c>
      <c r="Z25" s="25">
        <v>0</v>
      </c>
      <c r="AA25" s="25">
        <v>0</v>
      </c>
      <c r="AB25" s="25">
        <v>100</v>
      </c>
      <c r="AC25" s="25">
        <v>0</v>
      </c>
      <c r="AD25" s="25">
        <v>0</v>
      </c>
      <c r="AE25" s="25">
        <v>0</v>
      </c>
      <c r="AF25" s="25">
        <v>0</v>
      </c>
      <c r="AG25" s="25">
        <v>100</v>
      </c>
      <c r="AH25" s="25">
        <v>0</v>
      </c>
      <c r="AI25" s="25">
        <v>0</v>
      </c>
      <c r="AJ25" s="25">
        <v>0</v>
      </c>
      <c r="AK25" s="25">
        <v>100</v>
      </c>
      <c r="AL25" s="25">
        <v>0</v>
      </c>
      <c r="AM25" s="25">
        <v>0</v>
      </c>
      <c r="AN25" s="25">
        <v>0</v>
      </c>
      <c r="AO25" s="25">
        <v>100</v>
      </c>
      <c r="AP25" s="25">
        <v>0</v>
      </c>
      <c r="AQ25" s="25">
        <v>0</v>
      </c>
      <c r="AR25" s="25">
        <v>0</v>
      </c>
      <c r="AS25" s="25">
        <v>0</v>
      </c>
      <c r="AT25" s="25">
        <v>100</v>
      </c>
      <c r="AU25" s="25">
        <v>0</v>
      </c>
      <c r="AV25" s="25">
        <v>0</v>
      </c>
      <c r="AW25" s="25">
        <v>0</v>
      </c>
      <c r="AX25" s="25">
        <v>100</v>
      </c>
      <c r="AY25" s="25">
        <v>0</v>
      </c>
      <c r="AZ25" s="25">
        <v>0</v>
      </c>
      <c r="BA25" s="25">
        <v>0</v>
      </c>
      <c r="BB25" s="25">
        <v>100</v>
      </c>
      <c r="BC25" s="26">
        <f ca="1">SUM(OFFSET($B25,0,1,1,Assumptions!$B$7))</f>
        <v>300</v>
      </c>
      <c r="BD25" s="26">
        <f ca="1">SUM(OFFSET($B25,0,1+Assumptions!$B$7,1,SUM(Assumptions!$B$8)))</f>
        <v>300</v>
      </c>
      <c r="BE25" s="26">
        <f ca="1">SUM(OFFSET($B25,0,1+SUM(Assumptions!$B$7:$B$8),1,SUM(Assumptions!$B$9)))</f>
        <v>300</v>
      </c>
      <c r="BF25" s="26">
        <f ca="1">SUM(OFFSET($B25,0,1+SUM(Assumptions!$B$7:$B$9),1,SUM(Assumptions!$B$10)))</f>
        <v>300</v>
      </c>
      <c r="BG25" s="26">
        <f t="shared" ca="1" si="9"/>
        <v>1200</v>
      </c>
    </row>
    <row r="26" spans="1:59" s="8" customFormat="1" ht="15" customHeight="1" x14ac:dyDescent="0.35">
      <c r="A26" s="20"/>
      <c r="B26" s="24" t="s">
        <v>12</v>
      </c>
      <c r="C26" s="25">
        <v>0</v>
      </c>
      <c r="D26" s="25">
        <v>0</v>
      </c>
      <c r="E26" s="25">
        <v>0</v>
      </c>
      <c r="F26" s="25">
        <v>0</v>
      </c>
      <c r="G26" s="25">
        <v>300</v>
      </c>
      <c r="H26" s="25">
        <v>0</v>
      </c>
      <c r="I26" s="25">
        <v>0</v>
      </c>
      <c r="J26" s="25">
        <v>0</v>
      </c>
      <c r="K26" s="25">
        <v>300</v>
      </c>
      <c r="L26" s="25">
        <v>0</v>
      </c>
      <c r="M26" s="25">
        <v>0</v>
      </c>
      <c r="N26" s="25">
        <v>0</v>
      </c>
      <c r="O26" s="25">
        <v>300</v>
      </c>
      <c r="P26" s="25">
        <v>0</v>
      </c>
      <c r="Q26" s="25">
        <v>0</v>
      </c>
      <c r="R26" s="25">
        <v>0</v>
      </c>
      <c r="S26" s="25">
        <v>0</v>
      </c>
      <c r="T26" s="25">
        <v>300</v>
      </c>
      <c r="U26" s="25">
        <v>0</v>
      </c>
      <c r="V26" s="25">
        <v>0</v>
      </c>
      <c r="W26" s="25">
        <v>0</v>
      </c>
      <c r="X26" s="25">
        <v>300</v>
      </c>
      <c r="Y26" s="25">
        <v>0</v>
      </c>
      <c r="Z26" s="25">
        <v>0</v>
      </c>
      <c r="AA26" s="25">
        <v>0</v>
      </c>
      <c r="AB26" s="25">
        <v>300</v>
      </c>
      <c r="AC26" s="25">
        <v>0</v>
      </c>
      <c r="AD26" s="25">
        <v>0</v>
      </c>
      <c r="AE26" s="25">
        <v>0</v>
      </c>
      <c r="AF26" s="25">
        <v>0</v>
      </c>
      <c r="AG26" s="25">
        <v>300</v>
      </c>
      <c r="AH26" s="25">
        <v>0</v>
      </c>
      <c r="AI26" s="25">
        <v>0</v>
      </c>
      <c r="AJ26" s="25">
        <v>0</v>
      </c>
      <c r="AK26" s="25">
        <v>300</v>
      </c>
      <c r="AL26" s="25">
        <v>0</v>
      </c>
      <c r="AM26" s="25">
        <v>0</v>
      </c>
      <c r="AN26" s="25">
        <v>0</v>
      </c>
      <c r="AO26" s="25">
        <v>300</v>
      </c>
      <c r="AP26" s="25">
        <v>0</v>
      </c>
      <c r="AQ26" s="25">
        <v>0</v>
      </c>
      <c r="AR26" s="25">
        <v>0</v>
      </c>
      <c r="AS26" s="25">
        <v>0</v>
      </c>
      <c r="AT26" s="25">
        <v>300</v>
      </c>
      <c r="AU26" s="25">
        <v>0</v>
      </c>
      <c r="AV26" s="25">
        <v>0</v>
      </c>
      <c r="AW26" s="25">
        <v>0</v>
      </c>
      <c r="AX26" s="25">
        <v>300</v>
      </c>
      <c r="AY26" s="25">
        <v>0</v>
      </c>
      <c r="AZ26" s="25">
        <v>0</v>
      </c>
      <c r="BA26" s="25">
        <v>0</v>
      </c>
      <c r="BB26" s="25">
        <v>300</v>
      </c>
      <c r="BC26" s="26">
        <f ca="1">SUM(OFFSET($B26,0,1,1,Assumptions!$B$7))</f>
        <v>900</v>
      </c>
      <c r="BD26" s="26">
        <f ca="1">SUM(OFFSET($B26,0,1+Assumptions!$B$7,1,SUM(Assumptions!$B$8)))</f>
        <v>900</v>
      </c>
      <c r="BE26" s="26">
        <f ca="1">SUM(OFFSET($B26,0,1+SUM(Assumptions!$B$7:$B$8),1,SUM(Assumptions!$B$9)))</f>
        <v>900</v>
      </c>
      <c r="BF26" s="26">
        <f ca="1">SUM(OFFSET($B26,0,1+SUM(Assumptions!$B$7:$B$9),1,SUM(Assumptions!$B$10)))</f>
        <v>900</v>
      </c>
      <c r="BG26" s="26">
        <f t="shared" ca="1" si="9"/>
        <v>3600</v>
      </c>
    </row>
    <row r="27" spans="1:59" s="8" customFormat="1" ht="15" customHeight="1" x14ac:dyDescent="0.35">
      <c r="A27" s="20"/>
      <c r="B27" s="24" t="s">
        <v>20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12000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3900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5000</v>
      </c>
      <c r="BB27" s="25">
        <v>0</v>
      </c>
      <c r="BC27" s="26">
        <f ca="1">SUM(OFFSET($B27,0,1,1,Assumptions!$B$7))</f>
        <v>12000</v>
      </c>
      <c r="BD27" s="26">
        <f ca="1">SUM(OFFSET($B27,0,1+Assumptions!$B$7,1,SUM(Assumptions!$B$8)))</f>
        <v>0</v>
      </c>
      <c r="BE27" s="26">
        <f ca="1">SUM(OFFSET($B27,0,1+SUM(Assumptions!$B$7:$B$8),1,SUM(Assumptions!$B$9)))</f>
        <v>3900</v>
      </c>
      <c r="BF27" s="26">
        <f ca="1">SUM(OFFSET($B27,0,1+SUM(Assumptions!$B$7:$B$9),1,SUM(Assumptions!$B$10)))</f>
        <v>5000</v>
      </c>
      <c r="BG27" s="26">
        <f t="shared" ca="1" si="9"/>
        <v>20900</v>
      </c>
    </row>
    <row r="28" spans="1:59" s="8" customFormat="1" ht="15" customHeight="1" x14ac:dyDescent="0.35">
      <c r="A28" s="20"/>
      <c r="B28" s="24" t="s">
        <v>13</v>
      </c>
      <c r="C28" s="25">
        <v>10000</v>
      </c>
      <c r="D28" s="25">
        <v>0</v>
      </c>
      <c r="E28" s="25">
        <v>0</v>
      </c>
      <c r="F28" s="25">
        <v>0</v>
      </c>
      <c r="G28" s="25">
        <v>0</v>
      </c>
      <c r="H28" s="25">
        <v>10000</v>
      </c>
      <c r="I28" s="25">
        <v>0</v>
      </c>
      <c r="J28" s="25">
        <v>0</v>
      </c>
      <c r="K28" s="25">
        <v>0</v>
      </c>
      <c r="L28" s="25">
        <v>10000</v>
      </c>
      <c r="M28" s="25">
        <v>0</v>
      </c>
      <c r="N28" s="25">
        <v>0</v>
      </c>
      <c r="O28" s="25">
        <v>0</v>
      </c>
      <c r="P28" s="25">
        <v>10000</v>
      </c>
      <c r="Q28" s="25">
        <v>0</v>
      </c>
      <c r="R28" s="25">
        <v>0</v>
      </c>
      <c r="S28" s="25">
        <v>0</v>
      </c>
      <c r="T28" s="25">
        <v>0</v>
      </c>
      <c r="U28" s="25">
        <v>10000</v>
      </c>
      <c r="V28" s="25">
        <v>0</v>
      </c>
      <c r="W28" s="25">
        <v>0</v>
      </c>
      <c r="X28" s="25">
        <v>0</v>
      </c>
      <c r="Y28" s="25">
        <v>10000</v>
      </c>
      <c r="Z28" s="25">
        <v>0</v>
      </c>
      <c r="AA28" s="25">
        <v>0</v>
      </c>
      <c r="AB28" s="25">
        <v>0</v>
      </c>
      <c r="AC28" s="25">
        <v>10000</v>
      </c>
      <c r="AD28" s="25">
        <v>0</v>
      </c>
      <c r="AE28" s="25">
        <v>0</v>
      </c>
      <c r="AF28" s="25">
        <v>0</v>
      </c>
      <c r="AG28" s="25">
        <v>0</v>
      </c>
      <c r="AH28" s="25">
        <v>10000</v>
      </c>
      <c r="AI28" s="25">
        <v>0</v>
      </c>
      <c r="AJ28" s="25">
        <v>0</v>
      </c>
      <c r="AK28" s="25">
        <v>0</v>
      </c>
      <c r="AL28" s="25">
        <v>10000</v>
      </c>
      <c r="AM28" s="25">
        <v>0</v>
      </c>
      <c r="AN28" s="25">
        <v>0</v>
      </c>
      <c r="AO28" s="25">
        <v>0</v>
      </c>
      <c r="AP28" s="25">
        <v>0</v>
      </c>
      <c r="AQ28" s="25">
        <v>10000</v>
      </c>
      <c r="AR28" s="25">
        <v>0</v>
      </c>
      <c r="AS28" s="25">
        <v>0</v>
      </c>
      <c r="AT28" s="25">
        <v>0</v>
      </c>
      <c r="AU28" s="25">
        <v>10000</v>
      </c>
      <c r="AV28" s="25">
        <v>0</v>
      </c>
      <c r="AW28" s="25">
        <v>0</v>
      </c>
      <c r="AX28" s="25">
        <v>0</v>
      </c>
      <c r="AY28" s="25">
        <v>10000</v>
      </c>
      <c r="AZ28" s="25">
        <v>0</v>
      </c>
      <c r="BA28" s="25">
        <v>0</v>
      </c>
      <c r="BB28" s="25">
        <v>0</v>
      </c>
      <c r="BC28" s="26">
        <f ca="1">SUM(OFFSET($B28,0,1,1,Assumptions!$B$7))</f>
        <v>30000</v>
      </c>
      <c r="BD28" s="26">
        <f ca="1">SUM(OFFSET($B28,0,1+Assumptions!$B$7,1,SUM(Assumptions!$B$8)))</f>
        <v>30000</v>
      </c>
      <c r="BE28" s="26">
        <f ca="1">SUM(OFFSET($B28,0,1+SUM(Assumptions!$B$7:$B$8),1,SUM(Assumptions!$B$9)))</f>
        <v>30000</v>
      </c>
      <c r="BF28" s="26">
        <f ca="1">SUM(OFFSET($B28,0,1+SUM(Assumptions!$B$7:$B$9),1,SUM(Assumptions!$B$10)))</f>
        <v>30000</v>
      </c>
      <c r="BG28" s="26">
        <f t="shared" ca="1" si="9"/>
        <v>120000</v>
      </c>
    </row>
    <row r="29" spans="1:59" s="8" customFormat="1" ht="15" customHeight="1" x14ac:dyDescent="0.35">
      <c r="A29" s="20"/>
      <c r="B29" s="24" t="s">
        <v>24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4300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2100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1900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3100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6">
        <f ca="1">SUM(OFFSET($B29,0,1,1,Assumptions!$B$7))</f>
        <v>4300</v>
      </c>
      <c r="BD29" s="26">
        <f ca="1">SUM(OFFSET($B29,0,1+Assumptions!$B$7,1,SUM(Assumptions!$B$8)))</f>
        <v>2100</v>
      </c>
      <c r="BE29" s="26">
        <f ca="1">SUM(OFFSET($B29,0,1+SUM(Assumptions!$B$7:$B$8),1,SUM(Assumptions!$B$9)))</f>
        <v>1900</v>
      </c>
      <c r="BF29" s="26">
        <f ca="1">SUM(OFFSET($B29,0,1+SUM(Assumptions!$B$7:$B$9),1,SUM(Assumptions!$B$10)))</f>
        <v>3100</v>
      </c>
      <c r="BG29" s="26">
        <f t="shared" ca="1" si="9"/>
        <v>11400</v>
      </c>
    </row>
    <row r="30" spans="1:59" s="8" customFormat="1" ht="15" customHeight="1" x14ac:dyDescent="0.35">
      <c r="A30" s="20"/>
      <c r="B30" s="24" t="s">
        <v>14</v>
      </c>
      <c r="C30" s="25">
        <v>5800</v>
      </c>
      <c r="D30" s="25">
        <v>5800</v>
      </c>
      <c r="E30" s="25">
        <v>5800</v>
      </c>
      <c r="F30" s="25">
        <v>5800</v>
      </c>
      <c r="G30" s="25">
        <v>5800</v>
      </c>
      <c r="H30" s="25">
        <v>5800</v>
      </c>
      <c r="I30" s="25">
        <v>5800</v>
      </c>
      <c r="J30" s="25">
        <v>5800</v>
      </c>
      <c r="K30" s="25">
        <v>5800</v>
      </c>
      <c r="L30" s="25">
        <v>5800</v>
      </c>
      <c r="M30" s="25">
        <v>5800</v>
      </c>
      <c r="N30" s="25">
        <v>5800</v>
      </c>
      <c r="O30" s="25">
        <v>5800</v>
      </c>
      <c r="P30" s="25">
        <v>5800</v>
      </c>
      <c r="Q30" s="25">
        <v>5800</v>
      </c>
      <c r="R30" s="25">
        <v>5800</v>
      </c>
      <c r="S30" s="25">
        <v>5800</v>
      </c>
      <c r="T30" s="25">
        <v>5800</v>
      </c>
      <c r="U30" s="25">
        <v>5800</v>
      </c>
      <c r="V30" s="25">
        <v>5800</v>
      </c>
      <c r="W30" s="25">
        <v>5800</v>
      </c>
      <c r="X30" s="25">
        <v>5800</v>
      </c>
      <c r="Y30" s="25">
        <v>5800</v>
      </c>
      <c r="Z30" s="25">
        <v>5800</v>
      </c>
      <c r="AA30" s="25">
        <v>6200</v>
      </c>
      <c r="AB30" s="25">
        <v>6200</v>
      </c>
      <c r="AC30" s="25">
        <v>6200</v>
      </c>
      <c r="AD30" s="25">
        <v>6200</v>
      </c>
      <c r="AE30" s="25">
        <v>6200</v>
      </c>
      <c r="AF30" s="25">
        <v>6200</v>
      </c>
      <c r="AG30" s="25">
        <v>6200</v>
      </c>
      <c r="AH30" s="25">
        <v>6200</v>
      </c>
      <c r="AI30" s="25">
        <v>6200</v>
      </c>
      <c r="AJ30" s="25">
        <v>6200</v>
      </c>
      <c r="AK30" s="25">
        <v>6200</v>
      </c>
      <c r="AL30" s="25">
        <v>6200</v>
      </c>
      <c r="AM30" s="25">
        <v>6200</v>
      </c>
      <c r="AN30" s="25">
        <v>6200</v>
      </c>
      <c r="AO30" s="25">
        <v>6200</v>
      </c>
      <c r="AP30" s="25">
        <v>6200</v>
      </c>
      <c r="AQ30" s="25">
        <v>6800</v>
      </c>
      <c r="AR30" s="25">
        <v>6800</v>
      </c>
      <c r="AS30" s="25">
        <v>6800</v>
      </c>
      <c r="AT30" s="25">
        <v>6800</v>
      </c>
      <c r="AU30" s="25">
        <v>6800</v>
      </c>
      <c r="AV30" s="25">
        <v>6800</v>
      </c>
      <c r="AW30" s="25">
        <v>6800</v>
      </c>
      <c r="AX30" s="25">
        <v>6800</v>
      </c>
      <c r="AY30" s="25">
        <v>6800</v>
      </c>
      <c r="AZ30" s="25">
        <v>6800</v>
      </c>
      <c r="BA30" s="25">
        <v>6800</v>
      </c>
      <c r="BB30" s="25">
        <v>6800</v>
      </c>
      <c r="BC30" s="26">
        <f ca="1">SUM(OFFSET($B30,0,1,1,Assumptions!$B$7))</f>
        <v>75400</v>
      </c>
      <c r="BD30" s="26">
        <f ca="1">SUM(OFFSET($B30,0,1+Assumptions!$B$7,1,SUM(Assumptions!$B$8)))</f>
        <v>76200</v>
      </c>
      <c r="BE30" s="26">
        <f ca="1">SUM(OFFSET($B30,0,1+SUM(Assumptions!$B$7:$B$8),1,SUM(Assumptions!$B$9)))</f>
        <v>80600</v>
      </c>
      <c r="BF30" s="26">
        <f ca="1">SUM(OFFSET($B30,0,1+SUM(Assumptions!$B$7:$B$9),1,SUM(Assumptions!$B$10)))</f>
        <v>87800</v>
      </c>
      <c r="BG30" s="26">
        <f t="shared" ca="1" si="9"/>
        <v>320000</v>
      </c>
    </row>
    <row r="31" spans="1:59" s="8" customFormat="1" ht="15" customHeight="1" x14ac:dyDescent="0.35">
      <c r="A31" s="20"/>
      <c r="B31" s="24" t="s">
        <v>15</v>
      </c>
      <c r="C31" s="25">
        <v>0</v>
      </c>
      <c r="D31" s="25">
        <v>0</v>
      </c>
      <c r="E31" s="25">
        <v>0</v>
      </c>
      <c r="F31" s="25">
        <v>0</v>
      </c>
      <c r="G31" s="25">
        <v>325</v>
      </c>
      <c r="H31" s="25">
        <v>0</v>
      </c>
      <c r="I31" s="25">
        <v>0</v>
      </c>
      <c r="J31" s="25">
        <v>0</v>
      </c>
      <c r="K31" s="25">
        <v>325</v>
      </c>
      <c r="L31" s="25">
        <v>0</v>
      </c>
      <c r="M31" s="25">
        <v>0</v>
      </c>
      <c r="N31" s="25">
        <v>0</v>
      </c>
      <c r="O31" s="25">
        <v>325</v>
      </c>
      <c r="P31" s="25">
        <v>0</v>
      </c>
      <c r="Q31" s="25">
        <v>0</v>
      </c>
      <c r="R31" s="25">
        <v>0</v>
      </c>
      <c r="S31" s="25">
        <v>0</v>
      </c>
      <c r="T31" s="25">
        <v>325</v>
      </c>
      <c r="U31" s="25">
        <v>0</v>
      </c>
      <c r="V31" s="25">
        <v>0</v>
      </c>
      <c r="W31" s="25">
        <v>0</v>
      </c>
      <c r="X31" s="25">
        <v>325</v>
      </c>
      <c r="Y31" s="25">
        <v>0</v>
      </c>
      <c r="Z31" s="25">
        <v>0</v>
      </c>
      <c r="AA31" s="25">
        <v>0</v>
      </c>
      <c r="AB31" s="25">
        <v>325</v>
      </c>
      <c r="AC31" s="25">
        <v>0</v>
      </c>
      <c r="AD31" s="25">
        <v>0</v>
      </c>
      <c r="AE31" s="25">
        <v>0</v>
      </c>
      <c r="AF31" s="25">
        <v>0</v>
      </c>
      <c r="AG31" s="25">
        <v>325</v>
      </c>
      <c r="AH31" s="25">
        <v>0</v>
      </c>
      <c r="AI31" s="25">
        <v>0</v>
      </c>
      <c r="AJ31" s="25">
        <v>0</v>
      </c>
      <c r="AK31" s="25">
        <v>325</v>
      </c>
      <c r="AL31" s="25">
        <v>0</v>
      </c>
      <c r="AM31" s="25">
        <v>0</v>
      </c>
      <c r="AN31" s="25">
        <v>0</v>
      </c>
      <c r="AO31" s="25">
        <v>325</v>
      </c>
      <c r="AP31" s="25">
        <v>0</v>
      </c>
      <c r="AQ31" s="25">
        <v>0</v>
      </c>
      <c r="AR31" s="25">
        <v>0</v>
      </c>
      <c r="AS31" s="25">
        <v>0</v>
      </c>
      <c r="AT31" s="25">
        <v>325</v>
      </c>
      <c r="AU31" s="25">
        <v>0</v>
      </c>
      <c r="AV31" s="25">
        <v>0</v>
      </c>
      <c r="AW31" s="25">
        <v>0</v>
      </c>
      <c r="AX31" s="25">
        <v>325</v>
      </c>
      <c r="AY31" s="25">
        <v>0</v>
      </c>
      <c r="AZ31" s="25">
        <v>0</v>
      </c>
      <c r="BA31" s="25">
        <v>0</v>
      </c>
      <c r="BB31" s="25">
        <v>325</v>
      </c>
      <c r="BC31" s="26">
        <f ca="1">SUM(OFFSET($B31,0,1,1,Assumptions!$B$7))</f>
        <v>975</v>
      </c>
      <c r="BD31" s="26">
        <f ca="1">SUM(OFFSET($B31,0,1+Assumptions!$B$7,1,SUM(Assumptions!$B$8)))</f>
        <v>975</v>
      </c>
      <c r="BE31" s="26">
        <f ca="1">SUM(OFFSET($B31,0,1+SUM(Assumptions!$B$7:$B$8),1,SUM(Assumptions!$B$9)))</f>
        <v>975</v>
      </c>
      <c r="BF31" s="26">
        <f ca="1">SUM(OFFSET($B31,0,1+SUM(Assumptions!$B$7:$B$9),1,SUM(Assumptions!$B$10)))</f>
        <v>975</v>
      </c>
      <c r="BG31" s="26">
        <f t="shared" ca="1" si="9"/>
        <v>3900</v>
      </c>
    </row>
    <row r="32" spans="1:59" s="8" customFormat="1" ht="15" customHeight="1" x14ac:dyDescent="0.35">
      <c r="A32" s="20"/>
      <c r="B32" s="24" t="s">
        <v>16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3200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6">
        <f ca="1">SUM(OFFSET($B32,0,1,1,Assumptions!$B$7))</f>
        <v>3200</v>
      </c>
      <c r="BD32" s="26">
        <f ca="1">SUM(OFFSET($B32,0,1+Assumptions!$B$7,1,SUM(Assumptions!$B$8)))</f>
        <v>0</v>
      </c>
      <c r="BE32" s="26">
        <f ca="1">SUM(OFFSET($B32,0,1+SUM(Assumptions!$B$7:$B$8),1,SUM(Assumptions!$B$9)))</f>
        <v>0</v>
      </c>
      <c r="BF32" s="26">
        <f ca="1">SUM(OFFSET($B32,0,1+SUM(Assumptions!$B$7:$B$9),1,SUM(Assumptions!$B$10)))</f>
        <v>0</v>
      </c>
      <c r="BG32" s="26">
        <f t="shared" ca="1" si="9"/>
        <v>3200</v>
      </c>
    </row>
    <row r="33" spans="1:59" s="8" customFormat="1" ht="15" customHeight="1" x14ac:dyDescent="0.35">
      <c r="A33" s="20"/>
      <c r="B33" s="24" t="s">
        <v>17</v>
      </c>
      <c r="C33" s="25">
        <v>0</v>
      </c>
      <c r="D33" s="25">
        <v>0</v>
      </c>
      <c r="E33" s="25">
        <v>0</v>
      </c>
      <c r="F33" s="25">
        <v>0</v>
      </c>
      <c r="G33" s="25">
        <v>2510</v>
      </c>
      <c r="H33" s="25">
        <v>0</v>
      </c>
      <c r="I33" s="25">
        <v>0</v>
      </c>
      <c r="J33" s="25">
        <v>0</v>
      </c>
      <c r="K33" s="25">
        <v>2510</v>
      </c>
      <c r="L33" s="25">
        <v>0</v>
      </c>
      <c r="M33" s="25">
        <v>0</v>
      </c>
      <c r="N33" s="25">
        <v>0</v>
      </c>
      <c r="O33" s="25">
        <v>2510</v>
      </c>
      <c r="P33" s="25">
        <v>0</v>
      </c>
      <c r="Q33" s="25">
        <v>0</v>
      </c>
      <c r="R33" s="25">
        <v>0</v>
      </c>
      <c r="S33" s="25">
        <v>0</v>
      </c>
      <c r="T33" s="25">
        <v>2510</v>
      </c>
      <c r="U33" s="25">
        <v>0</v>
      </c>
      <c r="V33" s="25">
        <v>0</v>
      </c>
      <c r="W33" s="25">
        <v>0</v>
      </c>
      <c r="X33" s="25">
        <v>2510</v>
      </c>
      <c r="Y33" s="25">
        <v>0</v>
      </c>
      <c r="Z33" s="25">
        <v>0</v>
      </c>
      <c r="AA33" s="25">
        <v>0</v>
      </c>
      <c r="AB33" s="25">
        <v>2510</v>
      </c>
      <c r="AC33" s="25">
        <v>0</v>
      </c>
      <c r="AD33" s="25">
        <v>0</v>
      </c>
      <c r="AE33" s="25">
        <v>0</v>
      </c>
      <c r="AF33" s="25">
        <v>0</v>
      </c>
      <c r="AG33" s="25">
        <v>2510</v>
      </c>
      <c r="AH33" s="25">
        <v>0</v>
      </c>
      <c r="AI33" s="25">
        <v>0</v>
      </c>
      <c r="AJ33" s="25">
        <v>0</v>
      </c>
      <c r="AK33" s="25">
        <v>2510</v>
      </c>
      <c r="AL33" s="25">
        <v>0</v>
      </c>
      <c r="AM33" s="25">
        <v>0</v>
      </c>
      <c r="AN33" s="25">
        <v>0</v>
      </c>
      <c r="AO33" s="25">
        <v>2510</v>
      </c>
      <c r="AP33" s="25">
        <v>0</v>
      </c>
      <c r="AQ33" s="25">
        <v>0</v>
      </c>
      <c r="AR33" s="25">
        <v>0</v>
      </c>
      <c r="AS33" s="25">
        <v>0</v>
      </c>
      <c r="AT33" s="25">
        <v>2510</v>
      </c>
      <c r="AU33" s="25">
        <v>0</v>
      </c>
      <c r="AV33" s="25">
        <v>0</v>
      </c>
      <c r="AW33" s="25">
        <v>0</v>
      </c>
      <c r="AX33" s="25">
        <v>2510</v>
      </c>
      <c r="AY33" s="25">
        <v>0</v>
      </c>
      <c r="AZ33" s="25">
        <v>0</v>
      </c>
      <c r="BA33" s="25">
        <v>0</v>
      </c>
      <c r="BB33" s="25">
        <v>2510</v>
      </c>
      <c r="BC33" s="26">
        <f ca="1">SUM(OFFSET($B33,0,1,1,Assumptions!$B$7))</f>
        <v>7530</v>
      </c>
      <c r="BD33" s="26">
        <f ca="1">SUM(OFFSET($B33,0,1+Assumptions!$B$7,1,SUM(Assumptions!$B$8)))</f>
        <v>7530</v>
      </c>
      <c r="BE33" s="26">
        <f ca="1">SUM(OFFSET($B33,0,1+SUM(Assumptions!$B$7:$B$8),1,SUM(Assumptions!$B$9)))</f>
        <v>7530</v>
      </c>
      <c r="BF33" s="26">
        <f ca="1">SUM(OFFSET($B33,0,1+SUM(Assumptions!$B$7:$B$9),1,SUM(Assumptions!$B$10)))</f>
        <v>7530</v>
      </c>
      <c r="BG33" s="26">
        <f t="shared" ca="1" si="9"/>
        <v>30120</v>
      </c>
    </row>
    <row r="34" spans="1:59" s="8" customFormat="1" ht="15" customHeight="1" x14ac:dyDescent="0.35">
      <c r="A34" s="20"/>
      <c r="B34" s="24" t="s">
        <v>27</v>
      </c>
      <c r="C34" s="25">
        <v>0</v>
      </c>
      <c r="D34" s="25">
        <v>0</v>
      </c>
      <c r="E34" s="25">
        <v>4000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4000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4000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4000</v>
      </c>
      <c r="BA34" s="25">
        <v>0</v>
      </c>
      <c r="BB34" s="25">
        <v>0</v>
      </c>
      <c r="BC34" s="26">
        <f ca="1">SUM(OFFSET($B34,0,1,1,Assumptions!$B$7))</f>
        <v>4000</v>
      </c>
      <c r="BD34" s="26">
        <f ca="1">SUM(OFFSET($B34,0,1+Assumptions!$B$7,1,SUM(Assumptions!$B$8)))</f>
        <v>4000</v>
      </c>
      <c r="BE34" s="26">
        <f ca="1">SUM(OFFSET($B34,0,1+SUM(Assumptions!$B$7:$B$8),1,SUM(Assumptions!$B$9)))</f>
        <v>4000</v>
      </c>
      <c r="BF34" s="26">
        <f ca="1">SUM(OFFSET($B34,0,1+SUM(Assumptions!$B$7:$B$9),1,SUM(Assumptions!$B$10)))</f>
        <v>4000</v>
      </c>
      <c r="BG34" s="26">
        <f t="shared" ca="1" si="9"/>
        <v>16000</v>
      </c>
    </row>
    <row r="35" spans="1:59" s="8" customFormat="1" ht="15" customHeight="1" x14ac:dyDescent="0.35">
      <c r="A35" s="20"/>
      <c r="B35" s="24" t="s">
        <v>8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2500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6">
        <f ca="1">SUM(OFFSET($B35,0,1,1,Assumptions!$B$7))</f>
        <v>0</v>
      </c>
      <c r="BD35" s="26">
        <f ca="1">SUM(OFFSET($B35,0,1+Assumptions!$B$7,1,SUM(Assumptions!$B$8)))</f>
        <v>2500</v>
      </c>
      <c r="BE35" s="26">
        <f ca="1">SUM(OFFSET($B35,0,1+SUM(Assumptions!$B$7:$B$8),1,SUM(Assumptions!$B$9)))</f>
        <v>0</v>
      </c>
      <c r="BF35" s="26">
        <f ca="1">SUM(OFFSET($B35,0,1+SUM(Assumptions!$B$7:$B$9),1,SUM(Assumptions!$B$10)))</f>
        <v>0</v>
      </c>
      <c r="BG35" s="26">
        <f t="shared" ca="1" si="9"/>
        <v>2500</v>
      </c>
    </row>
    <row r="36" spans="1:59" s="11" customFormat="1" ht="15" customHeight="1" x14ac:dyDescent="0.35">
      <c r="B36" s="2" t="s">
        <v>56</v>
      </c>
      <c r="C36" s="31">
        <f t="shared" ref="C36:AO36" ca="1" si="10">SUM(OFFSET($B$12,1,COLUMN(C12)-2,ROW($B$36)-ROW($B$12)-1,1))</f>
        <v>19050</v>
      </c>
      <c r="D36" s="31">
        <f t="shared" ca="1" si="10"/>
        <v>5800</v>
      </c>
      <c r="E36" s="31">
        <f ca="1">SUM(OFFSET($B$12,1,COLUMN(E12)-2,ROW($B$36)-ROW($B$12)-1,1))</f>
        <v>10600</v>
      </c>
      <c r="F36" s="31">
        <f t="shared" ca="1" si="10"/>
        <v>5800</v>
      </c>
      <c r="G36" s="31">
        <f t="shared" ca="1" si="10"/>
        <v>21085</v>
      </c>
      <c r="H36" s="31">
        <f t="shared" ca="1" si="10"/>
        <v>25800</v>
      </c>
      <c r="I36" s="31">
        <f t="shared" ca="1" si="10"/>
        <v>21000</v>
      </c>
      <c r="J36" s="31">
        <f t="shared" ca="1" si="10"/>
        <v>8460</v>
      </c>
      <c r="K36" s="31">
        <f t="shared" ca="1" si="10"/>
        <v>17285</v>
      </c>
      <c r="L36" s="31">
        <f t="shared" ca="1" si="10"/>
        <v>22100</v>
      </c>
      <c r="M36" s="31">
        <f t="shared" ca="1" si="10"/>
        <v>7419</v>
      </c>
      <c r="N36" s="31">
        <f t="shared" ca="1" si="10"/>
        <v>5800</v>
      </c>
      <c r="O36" s="31">
        <f t="shared" ca="1" si="10"/>
        <v>37285</v>
      </c>
      <c r="P36" s="31">
        <f t="shared" ca="1" si="10"/>
        <v>17800</v>
      </c>
      <c r="Q36" s="31">
        <f ca="1">SUM(OFFSET($B$12,1,COLUMN(Q12)-2,ROW($B$36)-ROW($B$12)-1,1))</f>
        <v>8300</v>
      </c>
      <c r="R36" s="31">
        <f t="shared" ca="1" si="10"/>
        <v>6720</v>
      </c>
      <c r="S36" s="31">
        <f t="shared" ca="1" si="10"/>
        <v>17800</v>
      </c>
      <c r="T36" s="31">
        <f t="shared" ca="1" si="10"/>
        <v>19635</v>
      </c>
      <c r="U36" s="31">
        <f t="shared" ca="1" si="10"/>
        <v>18367</v>
      </c>
      <c r="V36" s="31">
        <f t="shared" ca="1" si="10"/>
        <v>12005</v>
      </c>
      <c r="W36" s="31">
        <f t="shared" ca="1" si="10"/>
        <v>14800</v>
      </c>
      <c r="X36" s="31">
        <f t="shared" ca="1" si="10"/>
        <v>17535</v>
      </c>
      <c r="Y36" s="31">
        <f t="shared" ca="1" si="10"/>
        <v>17800</v>
      </c>
      <c r="Z36" s="31">
        <f t="shared" ca="1" si="10"/>
        <v>19085</v>
      </c>
      <c r="AA36" s="31">
        <f t="shared" ca="1" si="10"/>
        <v>6200</v>
      </c>
      <c r="AB36" s="31">
        <f t="shared" ca="1" si="10"/>
        <v>27935</v>
      </c>
      <c r="AC36" s="31">
        <f t="shared" ca="1" si="10"/>
        <v>18200</v>
      </c>
      <c r="AD36" s="31">
        <f ca="1">SUM(OFFSET($B$12,1,COLUMN(AD12)-2,ROW($B$36)-ROW($B$12)-1,1))</f>
        <v>8100</v>
      </c>
      <c r="AE36" s="31">
        <f t="shared" ca="1" si="10"/>
        <v>7150</v>
      </c>
      <c r="AF36" s="31">
        <f t="shared" ca="1" si="10"/>
        <v>7054</v>
      </c>
      <c r="AG36" s="31">
        <f t="shared" ca="1" si="10"/>
        <v>17935</v>
      </c>
      <c r="AH36" s="31">
        <f t="shared" ca="1" si="10"/>
        <v>28200</v>
      </c>
      <c r="AI36" s="31">
        <f t="shared" ca="1" si="10"/>
        <v>7914</v>
      </c>
      <c r="AJ36" s="31">
        <f t="shared" ca="1" si="10"/>
        <v>28200</v>
      </c>
      <c r="AK36" s="31">
        <f t="shared" ca="1" si="10"/>
        <v>20935</v>
      </c>
      <c r="AL36" s="31">
        <f t="shared" ca="1" si="10"/>
        <v>22100</v>
      </c>
      <c r="AM36" s="31">
        <f t="shared" ca="1" si="10"/>
        <v>7150</v>
      </c>
      <c r="AN36" s="31">
        <f t="shared" ca="1" si="10"/>
        <v>10200</v>
      </c>
      <c r="AO36" s="31">
        <f t="shared" ca="1" si="10"/>
        <v>30935</v>
      </c>
      <c r="AP36" s="31">
        <f t="shared" ref="AP36:BF36" ca="1" si="11">SUM(OFFSET($B$12,1,COLUMN(AP12)-2,ROW($B$36)-ROW($B$12)-1,1))</f>
        <v>6200</v>
      </c>
      <c r="AQ36" s="31">
        <f t="shared" ca="1" si="11"/>
        <v>18800</v>
      </c>
      <c r="AR36" s="31">
        <f t="shared" ca="1" si="11"/>
        <v>29750</v>
      </c>
      <c r="AS36" s="31">
        <f t="shared" ca="1" si="11"/>
        <v>13456</v>
      </c>
      <c r="AT36" s="31">
        <f t="shared" ca="1" si="11"/>
        <v>18535</v>
      </c>
      <c r="AU36" s="31">
        <f t="shared" ca="1" si="11"/>
        <v>18800</v>
      </c>
      <c r="AV36" s="31">
        <f t="shared" ca="1" si="11"/>
        <v>7750</v>
      </c>
      <c r="AW36" s="31">
        <f t="shared" ca="1" si="11"/>
        <v>10000</v>
      </c>
      <c r="AX36" s="31">
        <f t="shared" ca="1" si="11"/>
        <v>25735</v>
      </c>
      <c r="AY36" s="31">
        <f t="shared" ca="1" si="11"/>
        <v>18800</v>
      </c>
      <c r="AZ36" s="31">
        <f t="shared" ca="1" si="11"/>
        <v>11770</v>
      </c>
      <c r="BA36" s="31">
        <f t="shared" ca="1" si="11"/>
        <v>25800</v>
      </c>
      <c r="BB36" s="31">
        <f t="shared" ca="1" si="11"/>
        <v>36522</v>
      </c>
      <c r="BC36" s="31">
        <f ca="1">SUM(OFFSET($B$12,1,COLUMN(BC12)-2,ROW($B$36)-ROW($B$12)-1,1))</f>
        <v>207484</v>
      </c>
      <c r="BD36" s="31">
        <f ca="1">SUM(OFFSET($B$12,1,COLUMN(BD12)-2,ROW($B$36)-ROW($B$12)-1,1))</f>
        <v>203982</v>
      </c>
      <c r="BE36" s="31">
        <f ca="1">SUM(OFFSET($B$12,1,COLUMN(BE12)-2,ROW($B$36)-ROW($B$12)-1,1))</f>
        <v>214073</v>
      </c>
      <c r="BF36" s="31">
        <f t="shared" ca="1" si="11"/>
        <v>241918</v>
      </c>
      <c r="BG36" s="31">
        <f ca="1">SUM(OFFSET($B$12,1,COLUMN(BG12)-2,ROW($B$36)-ROW($B$12)-1,1))</f>
        <v>867457</v>
      </c>
    </row>
    <row r="37" spans="1:59" ht="15" customHeight="1" x14ac:dyDescent="0.3">
      <c r="C37" s="25"/>
      <c r="D37" s="25"/>
      <c r="E37" s="25"/>
      <c r="F37" s="25"/>
      <c r="G37" s="25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ht="15" customHeight="1" x14ac:dyDescent="0.35">
      <c r="A38" s="20"/>
      <c r="B38" s="7" t="s">
        <v>66</v>
      </c>
      <c r="C38" s="25">
        <v>0</v>
      </c>
      <c r="D38" s="25">
        <v>0</v>
      </c>
      <c r="E38" s="25">
        <v>0</v>
      </c>
      <c r="F38" s="25">
        <v>0</v>
      </c>
      <c r="G38" s="25">
        <v>13333</v>
      </c>
      <c r="H38" s="25">
        <v>0</v>
      </c>
      <c r="I38" s="25">
        <v>0</v>
      </c>
      <c r="J38" s="25">
        <v>0</v>
      </c>
      <c r="K38" s="25">
        <v>13333</v>
      </c>
      <c r="L38" s="25">
        <v>0</v>
      </c>
      <c r="M38" s="25">
        <v>0</v>
      </c>
      <c r="N38" s="25">
        <v>0</v>
      </c>
      <c r="O38" s="25">
        <v>15000</v>
      </c>
      <c r="P38" s="25">
        <v>0</v>
      </c>
      <c r="Q38" s="25">
        <v>0</v>
      </c>
      <c r="R38" s="25">
        <v>0</v>
      </c>
      <c r="S38" s="25">
        <v>0</v>
      </c>
      <c r="T38" s="25">
        <v>15000</v>
      </c>
      <c r="U38" s="25">
        <v>0</v>
      </c>
      <c r="V38" s="25">
        <v>0</v>
      </c>
      <c r="W38" s="25">
        <v>0</v>
      </c>
      <c r="X38" s="25">
        <v>15000</v>
      </c>
      <c r="Y38" s="25">
        <v>0</v>
      </c>
      <c r="Z38" s="25">
        <v>0</v>
      </c>
      <c r="AA38" s="25">
        <v>0</v>
      </c>
      <c r="AB38" s="25">
        <v>16000</v>
      </c>
      <c r="AC38" s="25">
        <v>0</v>
      </c>
      <c r="AD38" s="25">
        <v>0</v>
      </c>
      <c r="AE38" s="25">
        <v>0</v>
      </c>
      <c r="AF38" s="25">
        <v>0</v>
      </c>
      <c r="AG38" s="25">
        <v>16800</v>
      </c>
      <c r="AH38" s="25">
        <v>0</v>
      </c>
      <c r="AI38" s="25">
        <v>0</v>
      </c>
      <c r="AJ38" s="25">
        <v>0</v>
      </c>
      <c r="AK38" s="25">
        <v>16800</v>
      </c>
      <c r="AL38" s="25">
        <v>0</v>
      </c>
      <c r="AM38" s="25">
        <v>0</v>
      </c>
      <c r="AN38" s="25">
        <v>0</v>
      </c>
      <c r="AO38" s="25">
        <v>16800</v>
      </c>
      <c r="AP38" s="25">
        <v>0</v>
      </c>
      <c r="AQ38" s="25">
        <v>0</v>
      </c>
      <c r="AR38" s="25">
        <v>0</v>
      </c>
      <c r="AS38" s="25">
        <v>0</v>
      </c>
      <c r="AT38" s="25">
        <v>16800</v>
      </c>
      <c r="AU38" s="25">
        <v>0</v>
      </c>
      <c r="AV38" s="25">
        <v>0</v>
      </c>
      <c r="AW38" s="25">
        <v>0</v>
      </c>
      <c r="AX38" s="25">
        <v>17200</v>
      </c>
      <c r="AY38" s="25">
        <v>0</v>
      </c>
      <c r="AZ38" s="25">
        <v>0</v>
      </c>
      <c r="BA38" s="25">
        <v>0</v>
      </c>
      <c r="BB38" s="25">
        <v>17200</v>
      </c>
      <c r="BC38" s="26">
        <f ca="1">SUM(OFFSET($B38,0,1,1,Assumptions!$B$7))</f>
        <v>41666</v>
      </c>
      <c r="BD38" s="26">
        <f ca="1">SUM(OFFSET($B38,0,1+Assumptions!$B$7,1,SUM(Assumptions!$B$8)))</f>
        <v>46000</v>
      </c>
      <c r="BE38" s="26">
        <f ca="1">SUM(OFFSET($B38,0,1+SUM(Assumptions!$B$7:$B$8),1,SUM(Assumptions!$B$9)))</f>
        <v>50400</v>
      </c>
      <c r="BF38" s="26">
        <f ca="1">SUM(OFFSET($B38,0,1+SUM(Assumptions!$B$7:$B$9),1,SUM(Assumptions!$B$10)))</f>
        <v>51200</v>
      </c>
      <c r="BG38" s="26">
        <f ca="1">SUM(BC38:BF38)</f>
        <v>189266</v>
      </c>
    </row>
    <row r="39" spans="1:59" ht="15" customHeight="1" x14ac:dyDescent="0.3">
      <c r="C39" s="25"/>
      <c r="D39" s="25"/>
      <c r="E39" s="25"/>
      <c r="F39" s="25"/>
      <c r="G39" s="25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59" s="11" customFormat="1" ht="15" customHeight="1" x14ac:dyDescent="0.35">
      <c r="B40" s="2" t="s">
        <v>63</v>
      </c>
      <c r="C40" s="26">
        <f ca="1">SUM(C9,-C36,-C38)</f>
        <v>7200</v>
      </c>
      <c r="D40" s="26">
        <f t="shared" ref="D40:AO40" ca="1" si="12">SUM(D9,-D36,-D38)</f>
        <v>17348</v>
      </c>
      <c r="E40" s="26">
        <f ca="1">SUM(E9,-E36,-E38)</f>
        <v>17400</v>
      </c>
      <c r="F40" s="26">
        <f t="shared" ca="1" si="12"/>
        <v>22899.999999999996</v>
      </c>
      <c r="G40" s="26">
        <f t="shared" ca="1" si="12"/>
        <v>-5528</v>
      </c>
      <c r="H40" s="26">
        <f t="shared" ca="1" si="12"/>
        <v>2412.5</v>
      </c>
      <c r="I40" s="26">
        <f t="shared" ca="1" si="12"/>
        <v>4252.5</v>
      </c>
      <c r="J40" s="26">
        <f t="shared" ca="1" si="12"/>
        <v>20677.5</v>
      </c>
      <c r="K40" s="26">
        <f t="shared" ca="1" si="12"/>
        <v>-2868</v>
      </c>
      <c r="L40" s="26">
        <f t="shared" ca="1" si="12"/>
        <v>7500</v>
      </c>
      <c r="M40" s="26">
        <f t="shared" ca="1" si="12"/>
        <v>23106</v>
      </c>
      <c r="N40" s="26">
        <f t="shared" ca="1" si="12"/>
        <v>24540</v>
      </c>
      <c r="O40" s="26">
        <f t="shared" ca="1" si="12"/>
        <v>-23610</v>
      </c>
      <c r="P40" s="26">
        <f t="shared" ca="1" si="12"/>
        <v>14575</v>
      </c>
      <c r="Q40" s="26">
        <f ca="1">SUM(Q9,-Q36,-Q38)</f>
        <v>21300</v>
      </c>
      <c r="R40" s="26">
        <f t="shared" ca="1" si="12"/>
        <v>23157.5</v>
      </c>
      <c r="S40" s="26">
        <f t="shared" ca="1" si="12"/>
        <v>14112.5</v>
      </c>
      <c r="T40" s="26">
        <f t="shared" ca="1" si="12"/>
        <v>-1890</v>
      </c>
      <c r="U40" s="26">
        <f t="shared" ca="1" si="12"/>
        <v>13730.5</v>
      </c>
      <c r="V40" s="26">
        <f t="shared" ca="1" si="12"/>
        <v>17445</v>
      </c>
      <c r="W40" s="26">
        <f t="shared" ca="1" si="12"/>
        <v>15125</v>
      </c>
      <c r="X40" s="26">
        <f t="shared" ca="1" si="12"/>
        <v>715</v>
      </c>
      <c r="Y40" s="26">
        <f t="shared" ca="1" si="12"/>
        <v>14310</v>
      </c>
      <c r="Z40" s="26">
        <f t="shared" ca="1" si="12"/>
        <v>15305</v>
      </c>
      <c r="AA40" s="26">
        <f t="shared" ca="1" si="12"/>
        <v>27715</v>
      </c>
      <c r="AB40" s="26">
        <f t="shared" ca="1" si="12"/>
        <v>-9517.5</v>
      </c>
      <c r="AC40" s="26">
        <f t="shared" ca="1" si="12"/>
        <v>18000</v>
      </c>
      <c r="AD40" s="26">
        <f ca="1">SUM(AD9,-AD36,-AD38)</f>
        <v>28700</v>
      </c>
      <c r="AE40" s="26">
        <f t="shared" ca="1" si="12"/>
        <v>30050</v>
      </c>
      <c r="AF40" s="26">
        <f t="shared" ca="1" si="12"/>
        <v>27846</v>
      </c>
      <c r="AG40" s="26">
        <f t="shared" ca="1" si="12"/>
        <v>2265</v>
      </c>
      <c r="AH40" s="26">
        <f t="shared" ca="1" si="12"/>
        <v>8200</v>
      </c>
      <c r="AI40" s="26">
        <f t="shared" ca="1" si="12"/>
        <v>30186</v>
      </c>
      <c r="AJ40" s="26">
        <f t="shared" ca="1" si="12"/>
        <v>10700</v>
      </c>
      <c r="AK40" s="26">
        <f t="shared" ca="1" si="12"/>
        <v>-535</v>
      </c>
      <c r="AL40" s="26">
        <f t="shared" ca="1" si="12"/>
        <v>15900</v>
      </c>
      <c r="AM40" s="26">
        <f t="shared" ca="1" si="12"/>
        <v>31350</v>
      </c>
      <c r="AN40" s="26">
        <f t="shared" ca="1" si="12"/>
        <v>27200</v>
      </c>
      <c r="AO40" s="26">
        <f t="shared" ca="1" si="12"/>
        <v>-8735</v>
      </c>
      <c r="AP40" s="26">
        <f t="shared" ref="AP40:BF40" ca="1" si="13">SUM(AP9,-AP36,-AP38)</f>
        <v>29080</v>
      </c>
      <c r="AQ40" s="26">
        <f t="shared" ca="1" si="13"/>
        <v>11320</v>
      </c>
      <c r="AR40" s="26">
        <f t="shared" ca="1" si="13"/>
        <v>1930</v>
      </c>
      <c r="AS40" s="26">
        <f t="shared" ca="1" si="13"/>
        <v>10824</v>
      </c>
      <c r="AT40" s="26">
        <f t="shared" ca="1" si="13"/>
        <v>-14927</v>
      </c>
      <c r="AU40" s="26">
        <f t="shared" ca="1" si="13"/>
        <v>3328</v>
      </c>
      <c r="AV40" s="26">
        <f t="shared" ca="1" si="13"/>
        <v>19550</v>
      </c>
      <c r="AW40" s="26">
        <f t="shared" ca="1" si="13"/>
        <v>28248</v>
      </c>
      <c r="AX40" s="26">
        <f t="shared" ca="1" si="13"/>
        <v>-4935</v>
      </c>
      <c r="AY40" s="26">
        <f t="shared" ca="1" si="13"/>
        <v>20000</v>
      </c>
      <c r="AZ40" s="26">
        <f t="shared" ca="1" si="13"/>
        <v>28830</v>
      </c>
      <c r="BA40" s="26">
        <f t="shared" ca="1" si="13"/>
        <v>13640</v>
      </c>
      <c r="BB40" s="26">
        <f t="shared" ca="1" si="13"/>
        <v>-15162</v>
      </c>
      <c r="BC40" s="26">
        <f ca="1">SUM(BC9,-BC36,-BC38)</f>
        <v>115330.5</v>
      </c>
      <c r="BD40" s="26">
        <f ca="1">SUM(BD9,-BD36,-BD38)</f>
        <v>166083</v>
      </c>
      <c r="BE40" s="26">
        <f ca="1">SUM(BE9,-BE36,-BE38)</f>
        <v>221127</v>
      </c>
      <c r="BF40" s="26">
        <f t="shared" ca="1" si="13"/>
        <v>131726</v>
      </c>
      <c r="BG40" s="26">
        <f ca="1">SUM(BG9,-BG36,-BG38)</f>
        <v>634266.5</v>
      </c>
    </row>
    <row r="41" spans="1:59" ht="15" customHeight="1" x14ac:dyDescent="0.3">
      <c r="C41" s="25"/>
      <c r="D41" s="25"/>
      <c r="E41" s="25"/>
      <c r="F41" s="25"/>
      <c r="G41" s="25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</row>
    <row r="42" spans="1:59" s="8" customFormat="1" ht="15" customHeight="1" x14ac:dyDescent="0.35">
      <c r="B42" s="24" t="s">
        <v>47</v>
      </c>
      <c r="C42" s="25">
        <f ca="1">OFFSET(Loans!$F$9,COLUMN(C4)-2,0,1,1)</f>
        <v>9625</v>
      </c>
      <c r="D42" s="25">
        <f ca="1">OFFSET(Loans!$F$9,COLUMN(D4)-2,0,1,1)</f>
        <v>0</v>
      </c>
      <c r="E42" s="25">
        <f ca="1">OFFSET(Loans!$F$9,COLUMN(E4)-2,0,1,1)</f>
        <v>0</v>
      </c>
      <c r="F42" s="25">
        <f ca="1">OFFSET(Loans!$F$9,COLUMN(F4)-2,0,1,1)</f>
        <v>0</v>
      </c>
      <c r="G42" s="25">
        <f ca="1">OFFSET(Loans!$F$9,COLUMN(G4)-2,0,1,1)</f>
        <v>0</v>
      </c>
      <c r="H42" s="25">
        <f ca="1">OFFSET(Loans!$F$9,COLUMN(H4)-2,0,1,1)</f>
        <v>9502.3399588606189</v>
      </c>
      <c r="I42" s="25">
        <f ca="1">OFFSET(Loans!$F$9,COLUMN(I4)-2,0,1,1)</f>
        <v>0</v>
      </c>
      <c r="J42" s="25">
        <f ca="1">OFFSET(Loans!$F$9,COLUMN(J4)-2,0,1,1)</f>
        <v>0</v>
      </c>
      <c r="K42" s="25">
        <f ca="1">OFFSET(Loans!$F$9,COLUMN(K4)-2,0,1,1)</f>
        <v>0</v>
      </c>
      <c r="L42" s="25">
        <f ca="1">OFFSET(Loans!$F$9,COLUMN(L4)-2,0,1,1)</f>
        <v>9378.6066423612701</v>
      </c>
      <c r="M42" s="25">
        <f ca="1">OFFSET(Loans!$F$9,COLUMN(M4)-2,0,1,1)</f>
        <v>0</v>
      </c>
      <c r="N42" s="25">
        <f ca="1">OFFSET(Loans!$F$9,COLUMN(N4)-2,0,1,1)</f>
        <v>0</v>
      </c>
      <c r="O42" s="25">
        <f ca="1">OFFSET(Loans!$F$9,COLUMN(O4)-2,0,1,1)</f>
        <v>0</v>
      </c>
      <c r="P42" s="25">
        <f ca="1">OFFSET(Loans!$F$9,COLUMN(P4)-2,0,1,1)</f>
        <v>10128.790659342549</v>
      </c>
      <c r="Q42" s="25">
        <f ca="1">OFFSET(Loans!$F$9,COLUMN(Q4)-2,0,1,1)</f>
        <v>0</v>
      </c>
      <c r="R42" s="25">
        <f ca="1">OFFSET(Loans!$F$9,COLUMN(R4)-2,0,1,1)</f>
        <v>0</v>
      </c>
      <c r="S42" s="25">
        <f ca="1">OFFSET(Loans!$F$9,COLUMN(S4)-2,0,1,1)</f>
        <v>0</v>
      </c>
      <c r="T42" s="25">
        <f ca="1">OFFSET(Loans!$F$9,COLUMN(T4)-2,0,1,1)</f>
        <v>0</v>
      </c>
      <c r="U42" s="25">
        <f ca="1">OFFSET(Loans!$F$9,COLUMN(U4)-2,0,1,1)</f>
        <v>9991.7316236415645</v>
      </c>
      <c r="V42" s="25">
        <f ca="1">OFFSET(Loans!$F$9,COLUMN(V4)-2,0,1,1)</f>
        <v>0</v>
      </c>
      <c r="W42" s="25">
        <f ca="1">OFFSET(Loans!$F$9,COLUMN(W4)-2,0,1,1)</f>
        <v>0</v>
      </c>
      <c r="X42" s="25">
        <f ca="1">OFFSET(Loans!$F$9,COLUMN(X4)-2,0,1,1)</f>
        <v>0</v>
      </c>
      <c r="Y42" s="25">
        <f ca="1">OFFSET(Loans!$F$9,COLUMN(Y4)-2,0,1,1)</f>
        <v>9853.4733213781965</v>
      </c>
      <c r="Z42" s="25">
        <f ca="1">OFFSET(Loans!$F$9,COLUMN(Z4)-2,0,1,1)</f>
        <v>0</v>
      </c>
      <c r="AA42" s="25">
        <f ca="1">OFFSET(Loans!$F$9,COLUMN(AA4)-2,0,1,1)</f>
        <v>0</v>
      </c>
      <c r="AB42" s="25">
        <f ca="1">OFFSET(Loans!$F$9,COLUMN(AB4)-2,0,1,1)</f>
        <v>0</v>
      </c>
      <c r="AC42" s="25">
        <f ca="1">OFFSET(Loans!$F$9,COLUMN(AC4)-2,0,1,1)</f>
        <v>0</v>
      </c>
      <c r="AD42" s="25">
        <f ca="1">OFFSET(Loans!$F$9,COLUMN(AD4)-2,0,1,1)</f>
        <v>9714.0052589700208</v>
      </c>
      <c r="AE42" s="25">
        <f ca="1">OFFSET(Loans!$F$9,COLUMN(AE4)-2,0,1,1)</f>
        <v>0</v>
      </c>
      <c r="AF42" s="25">
        <f ca="1">OFFSET(Loans!$F$9,COLUMN(AF4)-2,0,1,1)</f>
        <v>0</v>
      </c>
      <c r="AG42" s="25">
        <f ca="1">OFFSET(Loans!$F$9,COLUMN(AG4)-2,0,1,1)</f>
        <v>0</v>
      </c>
      <c r="AH42" s="25">
        <f ca="1">OFFSET(Loans!$F$9,COLUMN(AH4)-2,0,1,1)</f>
        <v>9573.3168510157757</v>
      </c>
      <c r="AI42" s="25">
        <f ca="1">OFFSET(Loans!$F$9,COLUMN(AI4)-2,0,1,1)</f>
        <v>0</v>
      </c>
      <c r="AJ42" s="25">
        <f ca="1">OFFSET(Loans!$F$9,COLUMN(AJ4)-2,0,1,1)</f>
        <v>0</v>
      </c>
      <c r="AK42" s="25">
        <f ca="1">OFFSET(Loans!$F$9,COLUMN(AK4)-2,0,1,1)</f>
        <v>0</v>
      </c>
      <c r="AL42" s="25">
        <f ca="1">OFFSET(Loans!$F$9,COLUMN(AL4)-2,0,1,1)</f>
        <v>9431.3974194919301</v>
      </c>
      <c r="AM42" s="25">
        <f ca="1">OFFSET(Loans!$F$9,COLUMN(AM4)-2,0,1,1)</f>
        <v>0</v>
      </c>
      <c r="AN42" s="25">
        <f ca="1">OFFSET(Loans!$F$9,COLUMN(AN4)-2,0,1,1)</f>
        <v>0</v>
      </c>
      <c r="AO42" s="25">
        <f ca="1">OFFSET(Loans!$F$9,COLUMN(AO4)-2,0,1,1)</f>
        <v>0</v>
      </c>
      <c r="AP42" s="25">
        <f ca="1">OFFSET(Loans!$F$9,COLUMN(AP4)-2,0,1,1)</f>
        <v>0</v>
      </c>
      <c r="AQ42" s="25">
        <f ca="1">OFFSET(Loans!$F$9,COLUMN(AQ4)-2,0,1,1)</f>
        <v>9288.2361929422514</v>
      </c>
      <c r="AR42" s="25">
        <f ca="1">OFFSET(Loans!$F$9,COLUMN(AR4)-2,0,1,1)</f>
        <v>0</v>
      </c>
      <c r="AS42" s="25">
        <f ca="1">OFFSET(Loans!$F$9,COLUMN(AS4)-2,0,1,1)</f>
        <v>0</v>
      </c>
      <c r="AT42" s="25">
        <f ca="1">OFFSET(Loans!$F$9,COLUMN(AT4)-2,0,1,1)</f>
        <v>0</v>
      </c>
      <c r="AU42" s="25">
        <f ca="1">OFFSET(Loans!$F$9,COLUMN(AU4)-2,0,1,1)</f>
        <v>9143.8223056602637</v>
      </c>
      <c r="AV42" s="25">
        <f ca="1">OFFSET(Loans!$F$9,COLUMN(AV4)-2,0,1,1)</f>
        <v>0</v>
      </c>
      <c r="AW42" s="25">
        <f ca="1">OFFSET(Loans!$F$9,COLUMN(AW4)-2,0,1,1)</f>
        <v>0</v>
      </c>
      <c r="AX42" s="25">
        <f ca="1">OFFSET(Loans!$F$9,COLUMN(AX4)-2,0,1,1)</f>
        <v>0</v>
      </c>
      <c r="AY42" s="25">
        <f ca="1">OFFSET(Loans!$F$9,COLUMN(AY4)-2,0,1,1)</f>
        <v>8998.1447968645571</v>
      </c>
      <c r="AZ42" s="25">
        <f ca="1">OFFSET(Loans!$F$9,COLUMN(AZ4)-2,0,1,1)</f>
        <v>0</v>
      </c>
      <c r="BA42" s="25">
        <f ca="1">OFFSET(Loans!$F$9,COLUMN(BA4)-2,0,1,1)</f>
        <v>0</v>
      </c>
      <c r="BB42" s="25">
        <f ca="1">OFFSET(Loans!$F$9,COLUMN(BB4)-2,0,1,1)</f>
        <v>0</v>
      </c>
      <c r="BC42" s="26">
        <f ca="1">SUM(OFFSET($B42,0,1,1,Assumptions!$B$7))</f>
        <v>28505.946601221891</v>
      </c>
      <c r="BD42" s="26">
        <f ca="1">SUM(OFFSET($B42,0,1+Assumptions!$B$7,1,SUM(Assumptions!$B$8)))</f>
        <v>29973.99560436231</v>
      </c>
      <c r="BE42" s="26">
        <f ca="1">SUM(OFFSET($B42,0,1+SUM(Assumptions!$B$7:$B$8),1,SUM(Assumptions!$B$9)))</f>
        <v>28718.719529477727</v>
      </c>
      <c r="BF42" s="26">
        <f ca="1">SUM(OFFSET($B42,0,1+SUM(Assumptions!$B$7:$B$9),1,SUM(Assumptions!$B$10)))</f>
        <v>27430.203295467072</v>
      </c>
      <c r="BG42" s="26">
        <f ca="1">SUM(BC42:BF42)</f>
        <v>114628.86503052901</v>
      </c>
    </row>
    <row r="43" spans="1:59" s="8" customFormat="1" ht="15" customHeight="1" x14ac:dyDescent="0.35">
      <c r="B43" s="24" t="s">
        <v>41</v>
      </c>
      <c r="C43" s="25">
        <f ca="1">IF(SUM(OFFSET($B$40,0,1,1,COLUMN(C$4)-COLUMN($B$4)))-SUM(OFFSET($B$42,0,1,1,COLUMN(C$4)-COLUMN($B$4)))&lt;0,-SUM(OFFSET($B$43,0,0,1,COLUMN(C$4)-COLUMN($B$4))),((SUM(OFFSET($B$40,0,1,1,COLUMN(C$4)-COLUMN($B$4)))-SUM(OFFSET($B$42,0,1,1,COLUMN(C$4)-COLUMN($B$4))))*Assumptions!$B$37)-SUM(OFFSET($B$43,0,0,1,COLUMN(C$4)-COLUMN($B$4))))</f>
        <v>0</v>
      </c>
      <c r="D43" s="25">
        <f ca="1">IF(SUM(OFFSET($B$40,0,1,1,COLUMN(D$4)-COLUMN($B$4)))-SUM(OFFSET($B$42,0,1,1,COLUMN(D$4)-COLUMN($B$4)))&lt;0,-SUM(OFFSET($B$43,0,0,1,COLUMN(D$4)-COLUMN($B$4))),((SUM(OFFSET($B$40,0,1,1,COLUMN(D$4)-COLUMN($B$4)))-SUM(OFFSET($B$42,0,1,1,COLUMN(D$4)-COLUMN($B$4))))*Assumptions!$B$37)-SUM(OFFSET($B$43,0,0,1,COLUMN(D$4)-COLUMN($B$4))))</f>
        <v>4178.4400000000005</v>
      </c>
      <c r="E43" s="25">
        <f ca="1">IF(SUM(OFFSET($B$40,0,1,1,COLUMN(E$4)-COLUMN($B$4)))-SUM(OFFSET($B$42,0,1,1,COLUMN(E$4)-COLUMN($B$4)))&lt;0,-SUM(OFFSET($B$43,0,0,1,COLUMN(E$4)-COLUMN($B$4))),((SUM(OFFSET($B$40,0,1,1,COLUMN(E$4)-COLUMN($B$4)))-SUM(OFFSET($B$42,0,1,1,COLUMN(E$4)-COLUMN($B$4))))*Assumptions!$B$37)-SUM(OFFSET($B$43,0,0,1,COLUMN(E$4)-COLUMN($B$4))))</f>
        <v>4872</v>
      </c>
      <c r="F43" s="25">
        <f ca="1">IF(SUM(OFFSET($B$40,0,1,1,COLUMN(F$4)-COLUMN($B$4)))-SUM(OFFSET($B$42,0,1,1,COLUMN(F$4)-COLUMN($B$4)))&lt;0,-SUM(OFFSET($B$43,0,0,1,COLUMN(F$4)-COLUMN($B$4))),((SUM(OFFSET($B$40,0,1,1,COLUMN(F$4)-COLUMN($B$4)))-SUM(OFFSET($B$42,0,1,1,COLUMN(F$4)-COLUMN($B$4))))*Assumptions!$B$37)-SUM(OFFSET($B$43,0,0,1,COLUMN(F$4)-COLUMN($B$4))))</f>
        <v>6412.0000000000018</v>
      </c>
      <c r="G43" s="25">
        <f ca="1">IF(SUM(OFFSET($B$40,0,1,1,COLUMN(G$4)-COLUMN($B$4)))-SUM(OFFSET($B$42,0,1,1,COLUMN(G$4)-COLUMN($B$4)))&lt;0,-SUM(OFFSET($B$43,0,0,1,COLUMN(G$4)-COLUMN($B$4))),((SUM(OFFSET($B$40,0,1,1,COLUMN(G$4)-COLUMN($B$4)))-SUM(OFFSET($B$42,0,1,1,COLUMN(G$4)-COLUMN($B$4))))*Assumptions!$B$37)-SUM(OFFSET($B$43,0,0,1,COLUMN(G$4)-COLUMN($B$4))))</f>
        <v>-1547.8400000000001</v>
      </c>
      <c r="H43" s="25">
        <f ca="1">IF(SUM(OFFSET($B$40,0,1,1,COLUMN(H$4)-COLUMN($B$4)))-SUM(OFFSET($B$42,0,1,1,COLUMN(H$4)-COLUMN($B$4)))&lt;0,-SUM(OFFSET($B$43,0,0,1,COLUMN(H$4)-COLUMN($B$4))),((SUM(OFFSET($B$40,0,1,1,COLUMN(H$4)-COLUMN($B$4)))-SUM(OFFSET($B$42,0,1,1,COLUMN(H$4)-COLUMN($B$4))))*Assumptions!$B$37)-SUM(OFFSET($B$43,0,0,1,COLUMN(H$4)-COLUMN($B$4))))</f>
        <v>-1985.1551884809742</v>
      </c>
      <c r="I43" s="25">
        <f ca="1">IF(SUM(OFFSET($B$40,0,1,1,COLUMN(I$4)-COLUMN($B$4)))-SUM(OFFSET($B$42,0,1,1,COLUMN(I$4)-COLUMN($B$4)))&lt;0,-SUM(OFFSET($B$43,0,0,1,COLUMN(I$4)-COLUMN($B$4))),((SUM(OFFSET($B$40,0,1,1,COLUMN(I$4)-COLUMN($B$4)))-SUM(OFFSET($B$42,0,1,1,COLUMN(I$4)-COLUMN($B$4))))*Assumptions!$B$37)-SUM(OFFSET($B$43,0,0,1,COLUMN(I$4)-COLUMN($B$4))))</f>
        <v>1190.7000000000007</v>
      </c>
      <c r="J43" s="25">
        <f ca="1">IF(SUM(OFFSET($B$40,0,1,1,COLUMN(J$4)-COLUMN($B$4)))-SUM(OFFSET($B$42,0,1,1,COLUMN(J$4)-COLUMN($B$4)))&lt;0,-SUM(OFFSET($B$43,0,0,1,COLUMN(J$4)-COLUMN($B$4))),((SUM(OFFSET($B$40,0,1,1,COLUMN(J$4)-COLUMN($B$4)))-SUM(OFFSET($B$42,0,1,1,COLUMN(J$4)-COLUMN($B$4))))*Assumptions!$B$37)-SUM(OFFSET($B$43,0,0,1,COLUMN(J$4)-COLUMN($B$4))))</f>
        <v>5789.6999999999971</v>
      </c>
      <c r="K43" s="25">
        <f ca="1">IF(SUM(OFFSET($B$40,0,1,1,COLUMN(K$4)-COLUMN($B$4)))-SUM(OFFSET($B$42,0,1,1,COLUMN(K$4)-COLUMN($B$4)))&lt;0,-SUM(OFFSET($B$43,0,0,1,COLUMN(K$4)-COLUMN($B$4))),((SUM(OFFSET($B$40,0,1,1,COLUMN(K$4)-COLUMN($B$4)))-SUM(OFFSET($B$42,0,1,1,COLUMN(K$4)-COLUMN($B$4))))*Assumptions!$B$37)-SUM(OFFSET($B$43,0,0,1,COLUMN(K$4)-COLUMN($B$4))))</f>
        <v>-803.03999999999724</v>
      </c>
      <c r="L43" s="25">
        <f ca="1">IF(SUM(OFFSET($B$40,0,1,1,COLUMN(L$4)-COLUMN($B$4)))-SUM(OFFSET($B$42,0,1,1,COLUMN(L$4)-COLUMN($B$4)))&lt;0,-SUM(OFFSET($B$43,0,0,1,COLUMN(L$4)-COLUMN($B$4))),((SUM(OFFSET($B$40,0,1,1,COLUMN(L$4)-COLUMN($B$4)))-SUM(OFFSET($B$42,0,1,1,COLUMN(L$4)-COLUMN($B$4))))*Assumptions!$B$37)-SUM(OFFSET($B$43,0,0,1,COLUMN(L$4)-COLUMN($B$4))))</f>
        <v>-526.00985986115484</v>
      </c>
      <c r="M43" s="25">
        <f ca="1">IF(SUM(OFFSET($B$40,0,1,1,COLUMN(M$4)-COLUMN($B$4)))-SUM(OFFSET($B$42,0,1,1,COLUMN(M$4)-COLUMN($B$4)))&lt;0,-SUM(OFFSET($B$43,0,0,1,COLUMN(M$4)-COLUMN($B$4))),((SUM(OFFSET($B$40,0,1,1,COLUMN(M$4)-COLUMN($B$4)))-SUM(OFFSET($B$42,0,1,1,COLUMN(M$4)-COLUMN($B$4))))*Assumptions!$B$37)-SUM(OFFSET($B$43,0,0,1,COLUMN(M$4)-COLUMN($B$4))))</f>
        <v>6469.68</v>
      </c>
      <c r="N43" s="25">
        <f ca="1">IF(SUM(OFFSET($B$40,0,1,1,COLUMN(N$4)-COLUMN($B$4)))-SUM(OFFSET($B$42,0,1,1,COLUMN(N$4)-COLUMN($B$4)))&lt;0,-SUM(OFFSET($B$43,0,0,1,COLUMN(N$4)-COLUMN($B$4))),((SUM(OFFSET($B$40,0,1,1,COLUMN(N$4)-COLUMN($B$4)))-SUM(OFFSET($B$42,0,1,1,COLUMN(N$4)-COLUMN($B$4))))*Assumptions!$B$37)-SUM(OFFSET($B$43,0,0,1,COLUMN(N$4)-COLUMN($B$4))))</f>
        <v>6871.2000000000007</v>
      </c>
      <c r="O43" s="25">
        <f ca="1">IF(SUM(OFFSET($B$40,0,1,1,COLUMN(O$4)-COLUMN($B$4)))-SUM(OFFSET($B$42,0,1,1,COLUMN(O$4)-COLUMN($B$4)))&lt;0,-SUM(OFFSET($B$43,0,0,1,COLUMN(O$4)-COLUMN($B$4))),((SUM(OFFSET($B$40,0,1,1,COLUMN(O$4)-COLUMN($B$4)))-SUM(OFFSET($B$42,0,1,1,COLUMN(O$4)-COLUMN($B$4))))*Assumptions!$B$37)-SUM(OFFSET($B$43,0,0,1,COLUMN(O$4)-COLUMN($B$4))))</f>
        <v>-6610.8000000000029</v>
      </c>
      <c r="P43" s="25">
        <f ca="1">IF(SUM(OFFSET($B$40,0,1,1,COLUMN(P$4)-COLUMN($B$4)))-SUM(OFFSET($B$42,0,1,1,COLUMN(P$4)-COLUMN($B$4)))&lt;0,-SUM(OFFSET($B$43,0,0,1,COLUMN(P$4)-COLUMN($B$4))),((SUM(OFFSET($B$40,0,1,1,COLUMN(P$4)-COLUMN($B$4)))-SUM(OFFSET($B$42,0,1,1,COLUMN(P$4)-COLUMN($B$4))))*Assumptions!$B$37)-SUM(OFFSET($B$43,0,0,1,COLUMN(P$4)-COLUMN($B$4))))</f>
        <v>1244.9386153840896</v>
      </c>
      <c r="Q43" s="25">
        <f ca="1">IF(SUM(OFFSET($B$40,0,1,1,COLUMN(Q$4)-COLUMN($B$4)))-SUM(OFFSET($B$42,0,1,1,COLUMN(Q$4)-COLUMN($B$4)))&lt;0,-SUM(OFFSET($B$43,0,0,1,COLUMN(Q$4)-COLUMN($B$4))),((SUM(OFFSET($B$40,0,1,1,COLUMN(Q$4)-COLUMN($B$4)))-SUM(OFFSET($B$42,0,1,1,COLUMN(Q$4)-COLUMN($B$4))))*Assumptions!$B$37)-SUM(OFFSET($B$43,0,0,1,COLUMN(Q$4)-COLUMN($B$4))))</f>
        <v>5964</v>
      </c>
      <c r="R43" s="25">
        <f ca="1">IF(SUM(OFFSET($B$40,0,1,1,COLUMN(R$4)-COLUMN($B$4)))-SUM(OFFSET($B$42,0,1,1,COLUMN(R$4)-COLUMN($B$4)))&lt;0,-SUM(OFFSET($B$43,0,0,1,COLUMN(R$4)-COLUMN($B$4))),((SUM(OFFSET($B$40,0,1,1,COLUMN(R$4)-COLUMN($B$4)))-SUM(OFFSET($B$42,0,1,1,COLUMN(R$4)-COLUMN($B$4))))*Assumptions!$B$37)-SUM(OFFSET($B$43,0,0,1,COLUMN(R$4)-COLUMN($B$4))))</f>
        <v>6484.1000000000022</v>
      </c>
      <c r="S43" s="25">
        <f ca="1">IF(SUM(OFFSET($B$40,0,1,1,COLUMN(S$4)-COLUMN($B$4)))-SUM(OFFSET($B$42,0,1,1,COLUMN(S$4)-COLUMN($B$4)))&lt;0,-SUM(OFFSET($B$43,0,0,1,COLUMN(S$4)-COLUMN($B$4))),((SUM(OFFSET($B$40,0,1,1,COLUMN(S$4)-COLUMN($B$4)))-SUM(OFFSET($B$42,0,1,1,COLUMN(S$4)-COLUMN($B$4))))*Assumptions!$B$37)-SUM(OFFSET($B$43,0,0,1,COLUMN(S$4)-COLUMN($B$4))))</f>
        <v>3951.5</v>
      </c>
      <c r="T43" s="25">
        <f ca="1">IF(SUM(OFFSET($B$40,0,1,1,COLUMN(T$4)-COLUMN($B$4)))-SUM(OFFSET($B$42,0,1,1,COLUMN(T$4)-COLUMN($B$4)))&lt;0,-SUM(OFFSET($B$43,0,0,1,COLUMN(T$4)-COLUMN($B$4))),((SUM(OFFSET($B$40,0,1,1,COLUMN(T$4)-COLUMN($B$4)))-SUM(OFFSET($B$42,0,1,1,COLUMN(T$4)-COLUMN($B$4))))*Assumptions!$B$37)-SUM(OFFSET($B$43,0,0,1,COLUMN(T$4)-COLUMN($B$4))))</f>
        <v>-529.20000000000437</v>
      </c>
      <c r="U43" s="25">
        <f ca="1">IF(SUM(OFFSET($B$40,0,1,1,COLUMN(U$4)-COLUMN($B$4)))-SUM(OFFSET($B$42,0,1,1,COLUMN(U$4)-COLUMN($B$4)))&lt;0,-SUM(OFFSET($B$43,0,0,1,COLUMN(U$4)-COLUMN($B$4))),((SUM(OFFSET($B$40,0,1,1,COLUMN(U$4)-COLUMN($B$4)))-SUM(OFFSET($B$42,0,1,1,COLUMN(U$4)-COLUMN($B$4))))*Assumptions!$B$37)-SUM(OFFSET($B$43,0,0,1,COLUMN(U$4)-COLUMN($B$4))))</f>
        <v>1046.8551453803666</v>
      </c>
      <c r="V43" s="25">
        <f ca="1">IF(SUM(OFFSET($B$40,0,1,1,COLUMN(V$4)-COLUMN($B$4)))-SUM(OFFSET($B$42,0,1,1,COLUMN(V$4)-COLUMN($B$4)))&lt;0,-SUM(OFFSET($B$43,0,0,1,COLUMN(V$4)-COLUMN($B$4))),((SUM(OFFSET($B$40,0,1,1,COLUMN(V$4)-COLUMN($B$4)))-SUM(OFFSET($B$42,0,1,1,COLUMN(V$4)-COLUMN($B$4))))*Assumptions!$B$37)-SUM(OFFSET($B$43,0,0,1,COLUMN(V$4)-COLUMN($B$4))))</f>
        <v>4884.5999999999985</v>
      </c>
      <c r="W43" s="25">
        <f ca="1">IF(SUM(OFFSET($B$40,0,1,1,COLUMN(W$4)-COLUMN($B$4)))-SUM(OFFSET($B$42,0,1,1,COLUMN(W$4)-COLUMN($B$4)))&lt;0,-SUM(OFFSET($B$43,0,0,1,COLUMN(W$4)-COLUMN($B$4))),((SUM(OFFSET($B$40,0,1,1,COLUMN(W$4)-COLUMN($B$4)))-SUM(OFFSET($B$42,0,1,1,COLUMN(W$4)-COLUMN($B$4))))*Assumptions!$B$37)-SUM(OFFSET($B$43,0,0,1,COLUMN(W$4)-COLUMN($B$4))))</f>
        <v>4235</v>
      </c>
      <c r="X43" s="25">
        <f ca="1">IF(SUM(OFFSET($B$40,0,1,1,COLUMN(X$4)-COLUMN($B$4)))-SUM(OFFSET($B$42,0,1,1,COLUMN(X$4)-COLUMN($B$4)))&lt;0,-SUM(OFFSET($B$43,0,0,1,COLUMN(X$4)-COLUMN($B$4))),((SUM(OFFSET($B$40,0,1,1,COLUMN(X$4)-COLUMN($B$4)))-SUM(OFFSET($B$42,0,1,1,COLUMN(X$4)-COLUMN($B$4))))*Assumptions!$B$37)-SUM(OFFSET($B$43,0,0,1,COLUMN(X$4)-COLUMN($B$4))))</f>
        <v>200.20000000000437</v>
      </c>
      <c r="Y43" s="25">
        <f ca="1">IF(SUM(OFFSET($B$40,0,1,1,COLUMN(Y$4)-COLUMN($B$4)))-SUM(OFFSET($B$42,0,1,1,COLUMN(Y$4)-COLUMN($B$4)))&lt;0,-SUM(OFFSET($B$43,0,0,1,COLUMN(Y$4)-COLUMN($B$4))),((SUM(OFFSET($B$40,0,1,1,COLUMN(Y$4)-COLUMN($B$4)))-SUM(OFFSET($B$42,0,1,1,COLUMN(Y$4)-COLUMN($B$4))))*Assumptions!$B$37)-SUM(OFFSET($B$43,0,0,1,COLUMN(Y$4)-COLUMN($B$4))))</f>
        <v>1247.8274700140973</v>
      </c>
      <c r="Z43" s="25">
        <f ca="1">IF(SUM(OFFSET($B$40,0,1,1,COLUMN(Z$4)-COLUMN($B$4)))-SUM(OFFSET($B$42,0,1,1,COLUMN(Z$4)-COLUMN($B$4)))&lt;0,-SUM(OFFSET($B$43,0,0,1,COLUMN(Z$4)-COLUMN($B$4))),((SUM(OFFSET($B$40,0,1,1,COLUMN(Z$4)-COLUMN($B$4)))-SUM(OFFSET($B$42,0,1,1,COLUMN(Z$4)-COLUMN($B$4))))*Assumptions!$B$37)-SUM(OFFSET($B$43,0,0,1,COLUMN(Z$4)-COLUMN($B$4))))</f>
        <v>4285.4000000000015</v>
      </c>
      <c r="AA43" s="25">
        <f ca="1">IF(SUM(OFFSET($B$40,0,1,1,COLUMN(AA$4)-COLUMN($B$4)))-SUM(OFFSET($B$42,0,1,1,COLUMN(AA$4)-COLUMN($B$4)))&lt;0,-SUM(OFFSET($B$43,0,0,1,COLUMN(AA$4)-COLUMN($B$4))),((SUM(OFFSET($B$40,0,1,1,COLUMN(AA$4)-COLUMN($B$4)))-SUM(OFFSET($B$42,0,1,1,COLUMN(AA$4)-COLUMN($B$4))))*Assumptions!$B$37)-SUM(OFFSET($B$43,0,0,1,COLUMN(AA$4)-COLUMN($B$4))))</f>
        <v>7760.2000000000044</v>
      </c>
      <c r="AB43" s="25">
        <f ca="1">IF(SUM(OFFSET($B$40,0,1,1,COLUMN(AB$4)-COLUMN($B$4)))-SUM(OFFSET($B$42,0,1,1,COLUMN(AB$4)-COLUMN($B$4)))&lt;0,-SUM(OFFSET($B$43,0,0,1,COLUMN(AB$4)-COLUMN($B$4))),((SUM(OFFSET($B$40,0,1,1,COLUMN(AB$4)-COLUMN($B$4)))-SUM(OFFSET($B$42,0,1,1,COLUMN(AB$4)-COLUMN($B$4))))*Assumptions!$B$37)-SUM(OFFSET($B$43,0,0,1,COLUMN(AB$4)-COLUMN($B$4))))</f>
        <v>-2664.9000000000015</v>
      </c>
      <c r="AC43" s="25">
        <f ca="1">IF(SUM(OFFSET($B$40,0,1,1,COLUMN(AC$4)-COLUMN($B$4)))-SUM(OFFSET($B$42,0,1,1,COLUMN(AC$4)-COLUMN($B$4)))&lt;0,-SUM(OFFSET($B$43,0,0,1,COLUMN(AC$4)-COLUMN($B$4))),((SUM(OFFSET($B$40,0,1,1,COLUMN(AC$4)-COLUMN($B$4)))-SUM(OFFSET($B$42,0,1,1,COLUMN(AC$4)-COLUMN($B$4))))*Assumptions!$B$37)-SUM(OFFSET($B$43,0,0,1,COLUMN(AC$4)-COLUMN($B$4))))</f>
        <v>5039.9999999999927</v>
      </c>
      <c r="AD43" s="25">
        <f ca="1">IF(SUM(OFFSET($B$40,0,1,1,COLUMN(AD$4)-COLUMN($B$4)))-SUM(OFFSET($B$42,0,1,1,COLUMN(AD$4)-COLUMN($B$4)))&lt;0,-SUM(OFFSET($B$43,0,0,1,COLUMN(AD$4)-COLUMN($B$4))),((SUM(OFFSET($B$40,0,1,1,COLUMN(AD$4)-COLUMN($B$4)))-SUM(OFFSET($B$42,0,1,1,COLUMN(AD$4)-COLUMN($B$4))))*Assumptions!$B$37)-SUM(OFFSET($B$43,0,0,1,COLUMN(AD$4)-COLUMN($B$4))))</f>
        <v>5316.0785274883965</v>
      </c>
      <c r="AE43" s="25">
        <f ca="1">IF(SUM(OFFSET($B$40,0,1,1,COLUMN(AE$4)-COLUMN($B$4)))-SUM(OFFSET($B$42,0,1,1,COLUMN(AE$4)-COLUMN($B$4)))&lt;0,-SUM(OFFSET($B$43,0,0,1,COLUMN(AE$4)-COLUMN($B$4))),((SUM(OFFSET($B$40,0,1,1,COLUMN(AE$4)-COLUMN($B$4)))-SUM(OFFSET($B$42,0,1,1,COLUMN(AE$4)-COLUMN($B$4))))*Assumptions!$B$37)-SUM(OFFSET($B$43,0,0,1,COLUMN(AE$4)-COLUMN($B$4))))</f>
        <v>8414</v>
      </c>
      <c r="AF43" s="25">
        <f ca="1">IF(SUM(OFFSET($B$40,0,1,1,COLUMN(AF$4)-COLUMN($B$4)))-SUM(OFFSET($B$42,0,1,1,COLUMN(AF$4)-COLUMN($B$4)))&lt;0,-SUM(OFFSET($B$43,0,0,1,COLUMN(AF$4)-COLUMN($B$4))),((SUM(OFFSET($B$40,0,1,1,COLUMN(AF$4)-COLUMN($B$4)))-SUM(OFFSET($B$42,0,1,1,COLUMN(AF$4)-COLUMN($B$4))))*Assumptions!$B$37)-SUM(OFFSET($B$43,0,0,1,COLUMN(AF$4)-COLUMN($B$4))))</f>
        <v>7796.8800000000047</v>
      </c>
      <c r="AG43" s="25">
        <f ca="1">IF(SUM(OFFSET($B$40,0,1,1,COLUMN(AG$4)-COLUMN($B$4)))-SUM(OFFSET($B$42,0,1,1,COLUMN(AG$4)-COLUMN($B$4)))&lt;0,-SUM(OFFSET($B$43,0,0,1,COLUMN(AG$4)-COLUMN($B$4))),((SUM(OFFSET($B$40,0,1,1,COLUMN(AG$4)-COLUMN($B$4)))-SUM(OFFSET($B$42,0,1,1,COLUMN(AG$4)-COLUMN($B$4))))*Assumptions!$B$37)-SUM(OFFSET($B$43,0,0,1,COLUMN(AG$4)-COLUMN($B$4))))</f>
        <v>634.19999999999709</v>
      </c>
      <c r="AH43" s="25">
        <f ca="1">IF(SUM(OFFSET($B$40,0,1,1,COLUMN(AH$4)-COLUMN($B$4)))-SUM(OFFSET($B$42,0,1,1,COLUMN(AH$4)-COLUMN($B$4)))&lt;0,-SUM(OFFSET($B$43,0,0,1,COLUMN(AH$4)-COLUMN($B$4))),((SUM(OFFSET($B$40,0,1,1,COLUMN(AH$4)-COLUMN($B$4)))-SUM(OFFSET($B$42,0,1,1,COLUMN(AH$4)-COLUMN($B$4))))*Assumptions!$B$37)-SUM(OFFSET($B$43,0,0,1,COLUMN(AH$4)-COLUMN($B$4))))</f>
        <v>-384.52871828441857</v>
      </c>
      <c r="AI43" s="25">
        <f ca="1">IF(SUM(OFFSET($B$40,0,1,1,COLUMN(AI$4)-COLUMN($B$4)))-SUM(OFFSET($B$42,0,1,1,COLUMN(AI$4)-COLUMN($B$4)))&lt;0,-SUM(OFFSET($B$43,0,0,1,COLUMN(AI$4)-COLUMN($B$4))),((SUM(OFFSET($B$40,0,1,1,COLUMN(AI$4)-COLUMN($B$4)))-SUM(OFFSET($B$42,0,1,1,COLUMN(AI$4)-COLUMN($B$4))))*Assumptions!$B$37)-SUM(OFFSET($B$43,0,0,1,COLUMN(AI$4)-COLUMN($B$4))))</f>
        <v>8452.0800000000017</v>
      </c>
      <c r="AJ43" s="25">
        <f ca="1">IF(SUM(OFFSET($B$40,0,1,1,COLUMN(AJ$4)-COLUMN($B$4)))-SUM(OFFSET($B$42,0,1,1,COLUMN(AJ$4)-COLUMN($B$4)))&lt;0,-SUM(OFFSET($B$43,0,0,1,COLUMN(AJ$4)-COLUMN($B$4))),((SUM(OFFSET($B$40,0,1,1,COLUMN(AJ$4)-COLUMN($B$4)))-SUM(OFFSET($B$42,0,1,1,COLUMN(AJ$4)-COLUMN($B$4))))*Assumptions!$B$37)-SUM(OFFSET($B$43,0,0,1,COLUMN(AJ$4)-COLUMN($B$4))))</f>
        <v>2996</v>
      </c>
      <c r="AK43" s="25">
        <f ca="1">IF(SUM(OFFSET($B$40,0,1,1,COLUMN(AK$4)-COLUMN($B$4)))-SUM(OFFSET($B$42,0,1,1,COLUMN(AK$4)-COLUMN($B$4)))&lt;0,-SUM(OFFSET($B$43,0,0,1,COLUMN(AK$4)-COLUMN($B$4))),((SUM(OFFSET($B$40,0,1,1,COLUMN(AK$4)-COLUMN($B$4)))-SUM(OFFSET($B$42,0,1,1,COLUMN(AK$4)-COLUMN($B$4))))*Assumptions!$B$37)-SUM(OFFSET($B$43,0,0,1,COLUMN(AK$4)-COLUMN($B$4))))</f>
        <v>-149.80000000000291</v>
      </c>
      <c r="AL43" s="25">
        <f ca="1">IF(SUM(OFFSET($B$40,0,1,1,COLUMN(AL$4)-COLUMN($B$4)))-SUM(OFFSET($B$42,0,1,1,COLUMN(AL$4)-COLUMN($B$4)))&lt;0,-SUM(OFFSET($B$43,0,0,1,COLUMN(AL$4)-COLUMN($B$4))),((SUM(OFFSET($B$40,0,1,1,COLUMN(AL$4)-COLUMN($B$4)))-SUM(OFFSET($B$42,0,1,1,COLUMN(AL$4)-COLUMN($B$4))))*Assumptions!$B$37)-SUM(OFFSET($B$43,0,0,1,COLUMN(AL$4)-COLUMN($B$4))))</f>
        <v>1811.2087225422729</v>
      </c>
      <c r="AM43" s="25">
        <f ca="1">IF(SUM(OFFSET($B$40,0,1,1,COLUMN(AM$4)-COLUMN($B$4)))-SUM(OFFSET($B$42,0,1,1,COLUMN(AM$4)-COLUMN($B$4)))&lt;0,-SUM(OFFSET($B$43,0,0,1,COLUMN(AM$4)-COLUMN($B$4))),((SUM(OFFSET($B$40,0,1,1,COLUMN(AM$4)-COLUMN($B$4)))-SUM(OFFSET($B$42,0,1,1,COLUMN(AM$4)-COLUMN($B$4))))*Assumptions!$B$37)-SUM(OFFSET($B$43,0,0,1,COLUMN(AM$4)-COLUMN($B$4))))</f>
        <v>8778</v>
      </c>
      <c r="AN43" s="25">
        <f ca="1">IF(SUM(OFFSET($B$40,0,1,1,COLUMN(AN$4)-COLUMN($B$4)))-SUM(OFFSET($B$42,0,1,1,COLUMN(AN$4)-COLUMN($B$4)))&lt;0,-SUM(OFFSET($B$43,0,0,1,COLUMN(AN$4)-COLUMN($B$4))),((SUM(OFFSET($B$40,0,1,1,COLUMN(AN$4)-COLUMN($B$4)))-SUM(OFFSET($B$42,0,1,1,COLUMN(AN$4)-COLUMN($B$4))))*Assumptions!$B$37)-SUM(OFFSET($B$43,0,0,1,COLUMN(AN$4)-COLUMN($B$4))))</f>
        <v>7616</v>
      </c>
      <c r="AO43" s="25">
        <f ca="1">IF(SUM(OFFSET($B$40,0,1,1,COLUMN(AO$4)-COLUMN($B$4)))-SUM(OFFSET($B$42,0,1,1,COLUMN(AO$4)-COLUMN($B$4)))&lt;0,-SUM(OFFSET($B$43,0,0,1,COLUMN(AO$4)-COLUMN($B$4))),((SUM(OFFSET($B$40,0,1,1,COLUMN(AO$4)-COLUMN($B$4)))-SUM(OFFSET($B$42,0,1,1,COLUMN(AO$4)-COLUMN($B$4))))*Assumptions!$B$37)-SUM(OFFSET($B$43,0,0,1,COLUMN(AO$4)-COLUMN($B$4))))</f>
        <v>-2445.8000000000029</v>
      </c>
      <c r="AP43" s="25">
        <f ca="1">IF(SUM(OFFSET($B$40,0,1,1,COLUMN(AP$4)-COLUMN($B$4)))-SUM(OFFSET($B$42,0,1,1,COLUMN(AP$4)-COLUMN($B$4)))&lt;0,-SUM(OFFSET($B$43,0,0,1,COLUMN(AP$4)-COLUMN($B$4))),((SUM(OFFSET($B$40,0,1,1,COLUMN(AP$4)-COLUMN($B$4)))-SUM(OFFSET($B$42,0,1,1,COLUMN(AP$4)-COLUMN($B$4))))*Assumptions!$B$37)-SUM(OFFSET($B$43,0,0,1,COLUMN(AP$4)-COLUMN($B$4))))</f>
        <v>8142.4000000000087</v>
      </c>
      <c r="AQ43" s="25">
        <f ca="1">IF(SUM(OFFSET($B$40,0,1,1,COLUMN(AQ$4)-COLUMN($B$4)))-SUM(OFFSET($B$42,0,1,1,COLUMN(AQ$4)-COLUMN($B$4)))&lt;0,-SUM(OFFSET($B$43,0,0,1,COLUMN(AQ$4)-COLUMN($B$4))),((SUM(OFFSET($B$40,0,1,1,COLUMN(AQ$4)-COLUMN($B$4)))-SUM(OFFSET($B$42,0,1,1,COLUMN(AQ$4)-COLUMN($B$4))))*Assumptions!$B$37)-SUM(OFFSET($B$43,0,0,1,COLUMN(AQ$4)-COLUMN($B$4))))</f>
        <v>568.89386597616249</v>
      </c>
      <c r="AR43" s="25">
        <f ca="1">IF(SUM(OFFSET($B$40,0,1,1,COLUMN(AR$4)-COLUMN($B$4)))-SUM(OFFSET($B$42,0,1,1,COLUMN(AR$4)-COLUMN($B$4)))&lt;0,-SUM(OFFSET($B$43,0,0,1,COLUMN(AR$4)-COLUMN($B$4))),((SUM(OFFSET($B$40,0,1,1,COLUMN(AR$4)-COLUMN($B$4)))-SUM(OFFSET($B$42,0,1,1,COLUMN(AR$4)-COLUMN($B$4))))*Assumptions!$B$37)-SUM(OFFSET($B$43,0,0,1,COLUMN(AR$4)-COLUMN($B$4))))</f>
        <v>540.40000000000873</v>
      </c>
      <c r="AS43" s="25">
        <f ca="1">IF(SUM(OFFSET($B$40,0,1,1,COLUMN(AS$4)-COLUMN($B$4)))-SUM(OFFSET($B$42,0,1,1,COLUMN(AS$4)-COLUMN($B$4)))&lt;0,-SUM(OFFSET($B$43,0,0,1,COLUMN(AS$4)-COLUMN($B$4))),((SUM(OFFSET($B$40,0,1,1,COLUMN(AS$4)-COLUMN($B$4)))-SUM(OFFSET($B$42,0,1,1,COLUMN(AS$4)-COLUMN($B$4))))*Assumptions!$B$37)-SUM(OFFSET($B$43,0,0,1,COLUMN(AS$4)-COLUMN($B$4))))</f>
        <v>3030.7200000000012</v>
      </c>
      <c r="AT43" s="25">
        <f ca="1">IF(SUM(OFFSET($B$40,0,1,1,COLUMN(AT$4)-COLUMN($B$4)))-SUM(OFFSET($B$42,0,1,1,COLUMN(AT$4)-COLUMN($B$4)))&lt;0,-SUM(OFFSET($B$43,0,0,1,COLUMN(AT$4)-COLUMN($B$4))),((SUM(OFFSET($B$40,0,1,1,COLUMN(AT$4)-COLUMN($B$4)))-SUM(OFFSET($B$42,0,1,1,COLUMN(AT$4)-COLUMN($B$4))))*Assumptions!$B$37)-SUM(OFFSET($B$43,0,0,1,COLUMN(AT$4)-COLUMN($B$4))))</f>
        <v>-4179.5599999999977</v>
      </c>
      <c r="AU43" s="25">
        <f ca="1">IF(SUM(OFFSET($B$40,0,1,1,COLUMN(AU$4)-COLUMN($B$4)))-SUM(OFFSET($B$42,0,1,1,COLUMN(AU$4)-COLUMN($B$4)))&lt;0,-SUM(OFFSET($B$43,0,0,1,COLUMN(AU$4)-COLUMN($B$4))),((SUM(OFFSET($B$40,0,1,1,COLUMN(AU$4)-COLUMN($B$4)))-SUM(OFFSET($B$42,0,1,1,COLUMN(AU$4)-COLUMN($B$4))))*Assumptions!$B$37)-SUM(OFFSET($B$43,0,0,1,COLUMN(AU$4)-COLUMN($B$4))))</f>
        <v>-1628.430245584881</v>
      </c>
      <c r="AV43" s="25">
        <f ca="1">IF(SUM(OFFSET($B$40,0,1,1,COLUMN(AV$4)-COLUMN($B$4)))-SUM(OFFSET($B$42,0,1,1,COLUMN(AV$4)-COLUMN($B$4)))&lt;0,-SUM(OFFSET($B$43,0,0,1,COLUMN(AV$4)-COLUMN($B$4))),((SUM(OFFSET($B$40,0,1,1,COLUMN(AV$4)-COLUMN($B$4)))-SUM(OFFSET($B$42,0,1,1,COLUMN(AV$4)-COLUMN($B$4))))*Assumptions!$B$37)-SUM(OFFSET($B$43,0,0,1,COLUMN(AV$4)-COLUMN($B$4))))</f>
        <v>5474</v>
      </c>
      <c r="AW43" s="25">
        <f ca="1">IF(SUM(OFFSET($B$40,0,1,1,COLUMN(AW$4)-COLUMN($B$4)))-SUM(OFFSET($B$42,0,1,1,COLUMN(AW$4)-COLUMN($B$4)))&lt;0,-SUM(OFFSET($B$43,0,0,1,COLUMN(AW$4)-COLUMN($B$4))),((SUM(OFFSET($B$40,0,1,1,COLUMN(AW$4)-COLUMN($B$4)))-SUM(OFFSET($B$42,0,1,1,COLUMN(AW$4)-COLUMN($B$4))))*Assumptions!$B$37)-SUM(OFFSET($B$43,0,0,1,COLUMN(AW$4)-COLUMN($B$4))))</f>
        <v>7909.4400000000023</v>
      </c>
      <c r="AX43" s="25">
        <f ca="1">IF(SUM(OFFSET($B$40,0,1,1,COLUMN(AX$4)-COLUMN($B$4)))-SUM(OFFSET($B$42,0,1,1,COLUMN(AX$4)-COLUMN($B$4)))&lt;0,-SUM(OFFSET($B$43,0,0,1,COLUMN(AX$4)-COLUMN($B$4))),((SUM(OFFSET($B$40,0,1,1,COLUMN(AX$4)-COLUMN($B$4)))-SUM(OFFSET($B$42,0,1,1,COLUMN(AX$4)-COLUMN($B$4))))*Assumptions!$B$37)-SUM(OFFSET($B$43,0,0,1,COLUMN(AX$4)-COLUMN($B$4))))</f>
        <v>-1381.8000000000175</v>
      </c>
      <c r="AY43" s="25">
        <f ca="1">IF(SUM(OFFSET($B$40,0,1,1,COLUMN(AY$4)-COLUMN($B$4)))-SUM(OFFSET($B$42,0,1,1,COLUMN(AY$4)-COLUMN($B$4)))&lt;0,-SUM(OFFSET($B$43,0,0,1,COLUMN(AY$4)-COLUMN($B$4))),((SUM(OFFSET($B$40,0,1,1,COLUMN(AY$4)-COLUMN($B$4)))-SUM(OFFSET($B$42,0,1,1,COLUMN(AY$4)-COLUMN($B$4))))*Assumptions!$B$37)-SUM(OFFSET($B$43,0,0,1,COLUMN(AY$4)-COLUMN($B$4))))</f>
        <v>3080.5194568779261</v>
      </c>
      <c r="AZ43" s="25">
        <f ca="1">IF(SUM(OFFSET($B$40,0,1,1,COLUMN(AZ$4)-COLUMN($B$4)))-SUM(OFFSET($B$42,0,1,1,COLUMN(AZ$4)-COLUMN($B$4)))&lt;0,-SUM(OFFSET($B$43,0,0,1,COLUMN(AZ$4)-COLUMN($B$4))),((SUM(OFFSET($B$40,0,1,1,COLUMN(AZ$4)-COLUMN($B$4)))-SUM(OFFSET($B$42,0,1,1,COLUMN(AZ$4)-COLUMN($B$4))))*Assumptions!$B$37)-SUM(OFFSET($B$43,0,0,1,COLUMN(AZ$4)-COLUMN($B$4))))</f>
        <v>8072.4000000000233</v>
      </c>
      <c r="BA43" s="25">
        <f ca="1">IF(SUM(OFFSET($B$40,0,1,1,COLUMN(BA$4)-COLUMN($B$4)))-SUM(OFFSET($B$42,0,1,1,COLUMN(BA$4)-COLUMN($B$4)))&lt;0,-SUM(OFFSET($B$43,0,0,1,COLUMN(BA$4)-COLUMN($B$4))),((SUM(OFFSET($B$40,0,1,1,COLUMN(BA$4)-COLUMN($B$4)))-SUM(OFFSET($B$42,0,1,1,COLUMN(BA$4)-COLUMN($B$4))))*Assumptions!$B$37)-SUM(OFFSET($B$43,0,0,1,COLUMN(BA$4)-COLUMN($B$4))))</f>
        <v>3819.1999999999825</v>
      </c>
      <c r="BB43" s="25">
        <f ca="1">IF(SUM(OFFSET($B$40,0,1,1,COLUMN(BB$4)-COLUMN($B$4)))-SUM(OFFSET($B$42,0,1,1,COLUMN(BB$4)-COLUMN($B$4)))&lt;0,-SUM(OFFSET($B$43,0,0,1,COLUMN(BB$4)-COLUMN($B$4))),((SUM(OFFSET($B$40,0,1,1,COLUMN(BB$4)-COLUMN($B$4)))-SUM(OFFSET($B$42,0,1,1,COLUMN(BB$4)-COLUMN($B$4))))*Assumptions!$B$37)-SUM(OFFSET($B$43,0,0,1,COLUMN(BB$4)-COLUMN($B$4))))</f>
        <v>-4245.359999999986</v>
      </c>
      <c r="BC43" s="26">
        <f ca="1">SUM(OFFSET($B43,0,1,1,Assumptions!$B$7))</f>
        <v>24310.874951657872</v>
      </c>
      <c r="BD43" s="26">
        <f ca="1">SUM(OFFSET($B43,0,1+Assumptions!$B$7,1,SUM(Assumptions!$B$8)))</f>
        <v>38110.521230778555</v>
      </c>
      <c r="BE43" s="26">
        <f ca="1">SUM(OFFSET($B43,0,1+SUM(Assumptions!$B$7:$B$8),1,SUM(Assumptions!$B$9)))</f>
        <v>53874.318531746241</v>
      </c>
      <c r="BF43" s="26">
        <f ca="1">SUM(OFFSET($B43,0,1+SUM(Assumptions!$B$7:$B$9),1,SUM(Assumptions!$B$10)))</f>
        <v>29202.823077269233</v>
      </c>
      <c r="BG43" s="26">
        <f ca="1">SUM(BC43:BF43)</f>
        <v>145498.5377914519</v>
      </c>
    </row>
    <row r="44" spans="1:59" ht="15" customHeight="1" x14ac:dyDescent="0.3">
      <c r="C44" s="25"/>
      <c r="D44" s="25"/>
      <c r="E44" s="25"/>
      <c r="F44" s="25"/>
      <c r="G44" s="25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</row>
    <row r="45" spans="1:59" ht="15" customHeight="1" x14ac:dyDescent="0.35">
      <c r="B45" s="2" t="s">
        <v>91</v>
      </c>
      <c r="C45" s="26">
        <f t="shared" ref="C45:AO45" ca="1" si="14">SUM(C40,-C42,-C43)</f>
        <v>-2425</v>
      </c>
      <c r="D45" s="26">
        <f t="shared" ca="1" si="14"/>
        <v>13169.56</v>
      </c>
      <c r="E45" s="26">
        <f ca="1">SUM(E40,-E42,-E43)</f>
        <v>12528</v>
      </c>
      <c r="F45" s="26">
        <f t="shared" ca="1" si="14"/>
        <v>16487.999999999993</v>
      </c>
      <c r="G45" s="26">
        <f t="shared" ca="1" si="14"/>
        <v>-3980.16</v>
      </c>
      <c r="H45" s="26">
        <f t="shared" ca="1" si="14"/>
        <v>-5104.6847703796448</v>
      </c>
      <c r="I45" s="26">
        <f t="shared" ca="1" si="14"/>
        <v>3061.7999999999993</v>
      </c>
      <c r="J45" s="26">
        <f t="shared" ca="1" si="14"/>
        <v>14887.800000000003</v>
      </c>
      <c r="K45" s="26">
        <f t="shared" ca="1" si="14"/>
        <v>-2064.9600000000028</v>
      </c>
      <c r="L45" s="26">
        <f t="shared" ca="1" si="14"/>
        <v>-1352.5967825001153</v>
      </c>
      <c r="M45" s="26">
        <f t="shared" ca="1" si="14"/>
        <v>16636.32</v>
      </c>
      <c r="N45" s="26">
        <f t="shared" ca="1" si="14"/>
        <v>17668.8</v>
      </c>
      <c r="O45" s="26">
        <f t="shared" ca="1" si="14"/>
        <v>-16999.199999999997</v>
      </c>
      <c r="P45" s="26">
        <f t="shared" ca="1" si="14"/>
        <v>3201.2707252733617</v>
      </c>
      <c r="Q45" s="26">
        <f ca="1">SUM(Q40,-Q42,-Q43)</f>
        <v>15336</v>
      </c>
      <c r="R45" s="26">
        <f t="shared" ca="1" si="14"/>
        <v>16673.399999999998</v>
      </c>
      <c r="S45" s="26">
        <f t="shared" ca="1" si="14"/>
        <v>10161</v>
      </c>
      <c r="T45" s="26">
        <f t="shared" ca="1" si="14"/>
        <v>-1360.7999999999956</v>
      </c>
      <c r="U45" s="26">
        <f t="shared" ca="1" si="14"/>
        <v>2691.9132309780689</v>
      </c>
      <c r="V45" s="26">
        <f t="shared" ca="1" si="14"/>
        <v>12560.400000000001</v>
      </c>
      <c r="W45" s="26">
        <f t="shared" ca="1" si="14"/>
        <v>10890</v>
      </c>
      <c r="X45" s="26">
        <f t="shared" ca="1" si="14"/>
        <v>514.79999999999563</v>
      </c>
      <c r="Y45" s="26">
        <f t="shared" ca="1" si="14"/>
        <v>3208.6992086077062</v>
      </c>
      <c r="Z45" s="26">
        <f t="shared" ca="1" si="14"/>
        <v>11019.599999999999</v>
      </c>
      <c r="AA45" s="26">
        <f t="shared" ca="1" si="14"/>
        <v>19954.799999999996</v>
      </c>
      <c r="AB45" s="26">
        <f t="shared" ca="1" si="14"/>
        <v>-6852.5999999999985</v>
      </c>
      <c r="AC45" s="26">
        <f t="shared" ca="1" si="14"/>
        <v>12960.000000000007</v>
      </c>
      <c r="AD45" s="26">
        <f ca="1">SUM(AD40,-AD42,-AD43)</f>
        <v>13669.916213541583</v>
      </c>
      <c r="AE45" s="26">
        <f t="shared" ca="1" si="14"/>
        <v>21636</v>
      </c>
      <c r="AF45" s="26">
        <f t="shared" ca="1" si="14"/>
        <v>20049.119999999995</v>
      </c>
      <c r="AG45" s="26">
        <f t="shared" ca="1" si="14"/>
        <v>1630.8000000000029</v>
      </c>
      <c r="AH45" s="26">
        <f t="shared" ca="1" si="14"/>
        <v>-988.78813273135711</v>
      </c>
      <c r="AI45" s="26">
        <f t="shared" ca="1" si="14"/>
        <v>21733.919999999998</v>
      </c>
      <c r="AJ45" s="26">
        <f t="shared" ca="1" si="14"/>
        <v>7704</v>
      </c>
      <c r="AK45" s="26">
        <f t="shared" ca="1" si="14"/>
        <v>-385.19999999999709</v>
      </c>
      <c r="AL45" s="26">
        <f t="shared" ca="1" si="14"/>
        <v>4657.393857965797</v>
      </c>
      <c r="AM45" s="26">
        <f t="shared" ca="1" si="14"/>
        <v>22572</v>
      </c>
      <c r="AN45" s="26">
        <f t="shared" ca="1" si="14"/>
        <v>19584</v>
      </c>
      <c r="AO45" s="26">
        <f t="shared" ca="1" si="14"/>
        <v>-6289.1999999999971</v>
      </c>
      <c r="AP45" s="26">
        <f t="shared" ref="AP45:BF45" ca="1" si="15">SUM(AP40,-AP42,-AP43)</f>
        <v>20937.599999999991</v>
      </c>
      <c r="AQ45" s="26">
        <f t="shared" ca="1" si="15"/>
        <v>1462.8699410815861</v>
      </c>
      <c r="AR45" s="26">
        <f t="shared" ca="1" si="15"/>
        <v>1389.5999999999913</v>
      </c>
      <c r="AS45" s="26">
        <f t="shared" ca="1" si="15"/>
        <v>7793.2799999999988</v>
      </c>
      <c r="AT45" s="26">
        <f t="shared" ca="1" si="15"/>
        <v>-10747.440000000002</v>
      </c>
      <c r="AU45" s="26">
        <f t="shared" ca="1" si="15"/>
        <v>-4187.3920600753827</v>
      </c>
      <c r="AV45" s="26">
        <f t="shared" ca="1" si="15"/>
        <v>14076</v>
      </c>
      <c r="AW45" s="26">
        <f t="shared" ca="1" si="15"/>
        <v>20338.559999999998</v>
      </c>
      <c r="AX45" s="26">
        <f t="shared" ca="1" si="15"/>
        <v>-3553.1999999999825</v>
      </c>
      <c r="AY45" s="26">
        <f t="shared" ca="1" si="15"/>
        <v>7921.3357462575168</v>
      </c>
      <c r="AZ45" s="26">
        <f t="shared" ca="1" si="15"/>
        <v>20757.599999999977</v>
      </c>
      <c r="BA45" s="26">
        <f t="shared" ca="1" si="15"/>
        <v>9820.8000000000175</v>
      </c>
      <c r="BB45" s="26">
        <f t="shared" ca="1" si="15"/>
        <v>-10916.640000000014</v>
      </c>
      <c r="BC45" s="26">
        <f ca="1">SUM(BC40,-BC42,-BC43)</f>
        <v>62513.678447120241</v>
      </c>
      <c r="BD45" s="26">
        <f ca="1">SUM(BD40,-BD42,-BD43)</f>
        <v>97998.483164859135</v>
      </c>
      <c r="BE45" s="26">
        <f ca="1">SUM(BE40,-BE42,-BE43)</f>
        <v>138533.96193877602</v>
      </c>
      <c r="BF45" s="26">
        <f t="shared" ca="1" si="15"/>
        <v>75092.973627263695</v>
      </c>
      <c r="BG45" s="26">
        <f ca="1">SUM(BG40,-BG42,-BG43)</f>
        <v>374139.09717801912</v>
      </c>
    </row>
    <row r="46" spans="1:59" s="32" customFormat="1" ht="15" customHeight="1" x14ac:dyDescent="0.35">
      <c r="B46" s="32" t="s">
        <v>65</v>
      </c>
      <c r="C46" s="33">
        <f t="shared" ref="C46:AO46" ca="1" si="16">IF(C$5=0,0,C45/C$5)</f>
        <v>-3.2333333333333332E-2</v>
      </c>
      <c r="D46" s="33">
        <f t="shared" ca="1" si="16"/>
        <v>0.20481430793157077</v>
      </c>
      <c r="E46" s="33">
        <f ca="1">IF(E$5=0,0,E45/E$5)</f>
        <v>0.15659999999999999</v>
      </c>
      <c r="F46" s="33">
        <f t="shared" ca="1" si="16"/>
        <v>0.20107317073170722</v>
      </c>
      <c r="G46" s="33">
        <f t="shared" ca="1" si="16"/>
        <v>-4.9597009345794391E-2</v>
      </c>
      <c r="H46" s="33">
        <f t="shared" ca="1" si="16"/>
        <v>-6.6946685513175674E-2</v>
      </c>
      <c r="I46" s="33">
        <f t="shared" ca="1" si="16"/>
        <v>4.4861538461538453E-2</v>
      </c>
      <c r="J46" s="33">
        <f t="shared" ca="1" si="16"/>
        <v>0.18905142857142862</v>
      </c>
      <c r="K46" s="33">
        <f t="shared" ca="1" si="16"/>
        <v>-2.7532800000000038E-2</v>
      </c>
      <c r="L46" s="33">
        <f t="shared" ca="1" si="16"/>
        <v>-1.6907459781251442E-2</v>
      </c>
      <c r="M46" s="33">
        <f t="shared" ca="1" si="16"/>
        <v>0.20165236363636363</v>
      </c>
      <c r="N46" s="33">
        <f t="shared" ca="1" si="16"/>
        <v>0.2154731707317073</v>
      </c>
      <c r="O46" s="33">
        <f t="shared" ca="1" si="16"/>
        <v>-0.21934451612903222</v>
      </c>
      <c r="P46" s="33">
        <f t="shared" ca="1" si="16"/>
        <v>3.6585951145981274E-2</v>
      </c>
      <c r="Q46" s="33">
        <f ca="1">IF(Q$5=0,0,Q45/Q$5)</f>
        <v>0.19170000000000001</v>
      </c>
      <c r="R46" s="33">
        <f t="shared" ca="1" si="16"/>
        <v>0.20648173374612999</v>
      </c>
      <c r="S46" s="33">
        <f t="shared" ca="1" si="16"/>
        <v>0.11780869565217392</v>
      </c>
      <c r="T46" s="33">
        <f t="shared" ca="1" si="16"/>
        <v>-1.5376271186440629E-2</v>
      </c>
      <c r="U46" s="33">
        <f t="shared" ca="1" si="16"/>
        <v>3.1030700068911458E-2</v>
      </c>
      <c r="V46" s="33">
        <f t="shared" ca="1" si="16"/>
        <v>0.16206967741935485</v>
      </c>
      <c r="W46" s="33">
        <f t="shared" ca="1" si="16"/>
        <v>0.13828571428571429</v>
      </c>
      <c r="X46" s="33">
        <f t="shared" ca="1" si="16"/>
        <v>5.8834285714285213E-3</v>
      </c>
      <c r="Y46" s="33">
        <f t="shared" ca="1" si="16"/>
        <v>3.7972771699499482E-2</v>
      </c>
      <c r="Z46" s="33">
        <f t="shared" ca="1" si="16"/>
        <v>0.12176353591160219</v>
      </c>
      <c r="AA46" s="33">
        <f t="shared" ca="1" si="16"/>
        <v>0.22358319327731088</v>
      </c>
      <c r="AB46" s="33">
        <f t="shared" ca="1" si="16"/>
        <v>-7.7649858356940493E-2</v>
      </c>
      <c r="AC46" s="33">
        <f t="shared" ca="1" si="16"/>
        <v>0.14320441988950283</v>
      </c>
      <c r="AD46" s="33">
        <f ca="1">IF(AD$5=0,0,AD45/AD$5)</f>
        <v>0.14858604579936502</v>
      </c>
      <c r="AE46" s="33">
        <f t="shared" ca="1" si="16"/>
        <v>0.23264516129032259</v>
      </c>
      <c r="AF46" s="33">
        <f t="shared" ca="1" si="16"/>
        <v>0.22978934097421197</v>
      </c>
      <c r="AG46" s="33">
        <f t="shared" ca="1" si="16"/>
        <v>1.7630270270270303E-2</v>
      </c>
      <c r="AH46" s="33">
        <f t="shared" ca="1" si="16"/>
        <v>-1.0865803656388539E-2</v>
      </c>
      <c r="AI46" s="33">
        <f t="shared" ca="1" si="16"/>
        <v>0.22817763779527558</v>
      </c>
      <c r="AJ46" s="33">
        <f t="shared" ca="1" si="16"/>
        <v>7.9218508997429313E-2</v>
      </c>
      <c r="AK46" s="33">
        <f t="shared" ca="1" si="16"/>
        <v>-4.1419354838709366E-3</v>
      </c>
      <c r="AL46" s="33">
        <f t="shared" ca="1" si="16"/>
        <v>4.9025198504903125E-2</v>
      </c>
      <c r="AM46" s="33">
        <f t="shared" ca="1" si="16"/>
        <v>0.2345142857142857</v>
      </c>
      <c r="AN46" s="33">
        <f t="shared" ca="1" si="16"/>
        <v>0.20945454545454545</v>
      </c>
      <c r="AO46" s="33">
        <f t="shared" ca="1" si="16"/>
        <v>-6.4504615384615355E-2</v>
      </c>
      <c r="AP46" s="33">
        <f t="shared" ref="AP46:BF46" ca="1" si="17">IF(AP$5=0,0,AP45/AP$5)</f>
        <v>0.23738775510204072</v>
      </c>
      <c r="AQ46" s="33">
        <f t="shared" ca="1" si="17"/>
        <v>1.9427223653141916E-2</v>
      </c>
      <c r="AR46" s="33">
        <f t="shared" ca="1" si="17"/>
        <v>1.7545454545454434E-2</v>
      </c>
      <c r="AS46" s="33">
        <f t="shared" ca="1" si="17"/>
        <v>0.12839011532125205</v>
      </c>
      <c r="AT46" s="33">
        <f t="shared" ca="1" si="17"/>
        <v>-0.21065150921207373</v>
      </c>
      <c r="AU46" s="33">
        <f t="shared" ca="1" si="17"/>
        <v>-7.569399963982977E-2</v>
      </c>
      <c r="AV46" s="33">
        <f t="shared" ca="1" si="17"/>
        <v>0.20624175824175825</v>
      </c>
      <c r="AW46" s="33">
        <f t="shared" ca="1" si="17"/>
        <v>0.21270194519974897</v>
      </c>
      <c r="AX46" s="33">
        <f t="shared" ca="1" si="17"/>
        <v>-3.7402105263157709E-2</v>
      </c>
      <c r="AY46" s="33">
        <f t="shared" ca="1" si="17"/>
        <v>8.1663255116056876E-2</v>
      </c>
      <c r="AZ46" s="33">
        <f t="shared" ca="1" si="17"/>
        <v>0.20450837438423622</v>
      </c>
      <c r="BA46" s="33">
        <f t="shared" ca="1" si="17"/>
        <v>9.9602434077079291E-2</v>
      </c>
      <c r="BB46" s="33">
        <f t="shared" ca="1" si="17"/>
        <v>-0.1132431535269711</v>
      </c>
      <c r="BC46" s="33">
        <f ca="1">IF(BC$5=0,0,BC45/BC$5)</f>
        <v>6.2401356006308882E-2</v>
      </c>
      <c r="BD46" s="33">
        <f ca="1">IF(BD$5=0,0,BD45/BD$5)</f>
        <v>8.8606223476364501E-2</v>
      </c>
      <c r="BE46" s="33">
        <f ca="1">IF(BE$5=0,0,BE45/BE$5)</f>
        <v>0.11411364245368701</v>
      </c>
      <c r="BF46" s="33">
        <f t="shared" ca="1" si="17"/>
        <v>7.0701691564210578E-2</v>
      </c>
      <c r="BG46" s="33">
        <f ca="1">IF(BG$5=0,0,BG45/BG$5)</f>
        <v>8.5343699386624977E-2</v>
      </c>
    </row>
    <row r="47" spans="1:59" ht="15" customHeight="1" x14ac:dyDescent="0.3">
      <c r="C47" s="34"/>
      <c r="D47" s="34"/>
      <c r="E47" s="34"/>
      <c r="F47" s="34"/>
      <c r="G47" s="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</row>
    <row r="49" spans="2:59" ht="15" customHeight="1" x14ac:dyDescent="0.4">
      <c r="B49" s="1" t="str">
        <f>Assumptions!$B$4</f>
        <v>Example Trading Limited</v>
      </c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</row>
    <row r="50" spans="2:59" ht="15" customHeight="1" x14ac:dyDescent="0.35">
      <c r="B50" s="6" t="s">
        <v>110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</row>
    <row r="51" spans="2:59" ht="15" customHeight="1" x14ac:dyDescent="0.35">
      <c r="B51" s="90"/>
      <c r="C51" s="89" t="str">
        <f>IF(COLUMN(C52)-2&lt;=Assumptions!$B$7,"Q1",IF(COLUMN(C52)-2&lt;=SUM(Assumptions!$B$7:$B$8),"Q2",IF(COLUMN(C52)-2&lt;=SUM(Assumptions!$B$7:$B$9),"Q3","Q4")))</f>
        <v>Q1</v>
      </c>
      <c r="D51" s="89" t="str">
        <f>IF(COLUMN(D52)-2&lt;=Assumptions!$B$7,"Q1",IF(COLUMN(D52)-2&lt;=SUM(Assumptions!$B$7:$B$8),"Q2",IF(COLUMN(D52)-2&lt;=SUM(Assumptions!$B$7:$B$9),"Q3","Q4")))</f>
        <v>Q1</v>
      </c>
      <c r="E51" s="89" t="str">
        <f>IF(COLUMN(E52)-2&lt;=Assumptions!$B$7,"Q1",IF(COLUMN(E52)-2&lt;=SUM(Assumptions!$B$7:$B$8),"Q2",IF(COLUMN(E52)-2&lt;=SUM(Assumptions!$B$7:$B$9),"Q3","Q4")))</f>
        <v>Q1</v>
      </c>
      <c r="F51" s="89" t="str">
        <f>IF(COLUMN(F52)-2&lt;=Assumptions!$B$7,"Q1",IF(COLUMN(F52)-2&lt;=SUM(Assumptions!$B$7:$B$8),"Q2",IF(COLUMN(F52)-2&lt;=SUM(Assumptions!$B$7:$B$9),"Q3","Q4")))</f>
        <v>Q1</v>
      </c>
      <c r="G51" s="89" t="str">
        <f>IF(COLUMN(G52)-2&lt;=Assumptions!$B$7,"Q1",IF(COLUMN(G52)-2&lt;=SUM(Assumptions!$B$7:$B$8),"Q2",IF(COLUMN(G52)-2&lt;=SUM(Assumptions!$B$7:$B$9),"Q3","Q4")))</f>
        <v>Q1</v>
      </c>
      <c r="H51" s="89" t="str">
        <f>IF(COLUMN(H52)-2&lt;=Assumptions!$B$7,"Q1",IF(COLUMN(H52)-2&lt;=SUM(Assumptions!$B$7:$B$8),"Q2",IF(COLUMN(H52)-2&lt;=SUM(Assumptions!$B$7:$B$9),"Q3","Q4")))</f>
        <v>Q1</v>
      </c>
      <c r="I51" s="89" t="str">
        <f>IF(COLUMN(I52)-2&lt;=Assumptions!$B$7,"Q1",IF(COLUMN(I52)-2&lt;=SUM(Assumptions!$B$7:$B$8),"Q2",IF(COLUMN(I52)-2&lt;=SUM(Assumptions!$B$7:$B$9),"Q3","Q4")))</f>
        <v>Q1</v>
      </c>
      <c r="J51" s="89" t="str">
        <f>IF(COLUMN(J52)-2&lt;=Assumptions!$B$7,"Q1",IF(COLUMN(J52)-2&lt;=SUM(Assumptions!$B$7:$B$8),"Q2",IF(COLUMN(J52)-2&lt;=SUM(Assumptions!$B$7:$B$9),"Q3","Q4")))</f>
        <v>Q1</v>
      </c>
      <c r="K51" s="89" t="str">
        <f>IF(COLUMN(K52)-2&lt;=Assumptions!$B$7,"Q1",IF(COLUMN(K52)-2&lt;=SUM(Assumptions!$B$7:$B$8),"Q2",IF(COLUMN(K52)-2&lt;=SUM(Assumptions!$B$7:$B$9),"Q3","Q4")))</f>
        <v>Q1</v>
      </c>
      <c r="L51" s="89" t="str">
        <f>IF(COLUMN(L52)-2&lt;=Assumptions!$B$7,"Q1",IF(COLUMN(L52)-2&lt;=SUM(Assumptions!$B$7:$B$8),"Q2",IF(COLUMN(L52)-2&lt;=SUM(Assumptions!$B$7:$B$9),"Q3","Q4")))</f>
        <v>Q1</v>
      </c>
      <c r="M51" s="89" t="str">
        <f>IF(COLUMN(M52)-2&lt;=Assumptions!$B$7,"Q1",IF(COLUMN(M52)-2&lt;=SUM(Assumptions!$B$7:$B$8),"Q2",IF(COLUMN(M52)-2&lt;=SUM(Assumptions!$B$7:$B$9),"Q3","Q4")))</f>
        <v>Q1</v>
      </c>
      <c r="N51" s="89" t="str">
        <f>IF(COLUMN(N52)-2&lt;=Assumptions!$B$7,"Q1",IF(COLUMN(N52)-2&lt;=SUM(Assumptions!$B$7:$B$8),"Q2",IF(COLUMN(N52)-2&lt;=SUM(Assumptions!$B$7:$B$9),"Q3","Q4")))</f>
        <v>Q1</v>
      </c>
      <c r="O51" s="89" t="str">
        <f>IF(COLUMN(O52)-2&lt;=Assumptions!$B$7,"Q1",IF(COLUMN(O52)-2&lt;=SUM(Assumptions!$B$7:$B$8),"Q2",IF(COLUMN(O52)-2&lt;=SUM(Assumptions!$B$7:$B$9),"Q3","Q4")))</f>
        <v>Q1</v>
      </c>
      <c r="P51" s="89" t="str">
        <f>IF(COLUMN(P52)-2&lt;=Assumptions!$B$7,"Q1",IF(COLUMN(P52)-2&lt;=SUM(Assumptions!$B$7:$B$8),"Q2",IF(COLUMN(P52)-2&lt;=SUM(Assumptions!$B$7:$B$9),"Q3","Q4")))</f>
        <v>Q2</v>
      </c>
      <c r="Q51" s="89" t="str">
        <f>IF(COLUMN(Q52)-2&lt;=Assumptions!$B$7,"Q1",IF(COLUMN(Q52)-2&lt;=SUM(Assumptions!$B$7:$B$8),"Q2",IF(COLUMN(Q52)-2&lt;=SUM(Assumptions!$B$7:$B$9),"Q3","Q4")))</f>
        <v>Q2</v>
      </c>
      <c r="R51" s="89" t="str">
        <f>IF(COLUMN(R52)-2&lt;=Assumptions!$B$7,"Q1",IF(COLUMN(R52)-2&lt;=SUM(Assumptions!$B$7:$B$8),"Q2",IF(COLUMN(R52)-2&lt;=SUM(Assumptions!$B$7:$B$9),"Q3","Q4")))</f>
        <v>Q2</v>
      </c>
      <c r="S51" s="89" t="str">
        <f>IF(COLUMN(S52)-2&lt;=Assumptions!$B$7,"Q1",IF(COLUMN(S52)-2&lt;=SUM(Assumptions!$B$7:$B$8),"Q2",IF(COLUMN(S52)-2&lt;=SUM(Assumptions!$B$7:$B$9),"Q3","Q4")))</f>
        <v>Q2</v>
      </c>
      <c r="T51" s="89" t="str">
        <f>IF(COLUMN(T52)-2&lt;=Assumptions!$B$7,"Q1",IF(COLUMN(T52)-2&lt;=SUM(Assumptions!$B$7:$B$8),"Q2",IF(COLUMN(T52)-2&lt;=SUM(Assumptions!$B$7:$B$9),"Q3","Q4")))</f>
        <v>Q2</v>
      </c>
      <c r="U51" s="89" t="str">
        <f>IF(COLUMN(U52)-2&lt;=Assumptions!$B$7,"Q1",IF(COLUMN(U52)-2&lt;=SUM(Assumptions!$B$7:$B$8),"Q2",IF(COLUMN(U52)-2&lt;=SUM(Assumptions!$B$7:$B$9),"Q3","Q4")))</f>
        <v>Q2</v>
      </c>
      <c r="V51" s="89" t="str">
        <f>IF(COLUMN(V52)-2&lt;=Assumptions!$B$7,"Q1",IF(COLUMN(V52)-2&lt;=SUM(Assumptions!$B$7:$B$8),"Q2",IF(COLUMN(V52)-2&lt;=SUM(Assumptions!$B$7:$B$9),"Q3","Q4")))</f>
        <v>Q2</v>
      </c>
      <c r="W51" s="89" t="str">
        <f>IF(COLUMN(W52)-2&lt;=Assumptions!$B$7,"Q1",IF(COLUMN(W52)-2&lt;=SUM(Assumptions!$B$7:$B$8),"Q2",IF(COLUMN(W52)-2&lt;=SUM(Assumptions!$B$7:$B$9),"Q3","Q4")))</f>
        <v>Q2</v>
      </c>
      <c r="X51" s="89" t="str">
        <f>IF(COLUMN(X52)-2&lt;=Assumptions!$B$7,"Q1",IF(COLUMN(X52)-2&lt;=SUM(Assumptions!$B$7:$B$8),"Q2",IF(COLUMN(X52)-2&lt;=SUM(Assumptions!$B$7:$B$9),"Q3","Q4")))</f>
        <v>Q2</v>
      </c>
      <c r="Y51" s="89" t="str">
        <f>IF(COLUMN(Y52)-2&lt;=Assumptions!$B$7,"Q1",IF(COLUMN(Y52)-2&lt;=SUM(Assumptions!$B$7:$B$8),"Q2",IF(COLUMN(Y52)-2&lt;=SUM(Assumptions!$B$7:$B$9),"Q3","Q4")))</f>
        <v>Q2</v>
      </c>
      <c r="Z51" s="89" t="str">
        <f>IF(COLUMN(Z52)-2&lt;=Assumptions!$B$7,"Q1",IF(COLUMN(Z52)-2&lt;=SUM(Assumptions!$B$7:$B$8),"Q2",IF(COLUMN(Z52)-2&lt;=SUM(Assumptions!$B$7:$B$9),"Q3","Q4")))</f>
        <v>Q2</v>
      </c>
      <c r="AA51" s="89" t="str">
        <f>IF(COLUMN(AA52)-2&lt;=Assumptions!$B$7,"Q1",IF(COLUMN(AA52)-2&lt;=SUM(Assumptions!$B$7:$B$8),"Q2",IF(COLUMN(AA52)-2&lt;=SUM(Assumptions!$B$7:$B$9),"Q3","Q4")))</f>
        <v>Q2</v>
      </c>
      <c r="AB51" s="89" t="str">
        <f>IF(COLUMN(AB52)-2&lt;=Assumptions!$B$7,"Q1",IF(COLUMN(AB52)-2&lt;=SUM(Assumptions!$B$7:$B$8),"Q2",IF(COLUMN(AB52)-2&lt;=SUM(Assumptions!$B$7:$B$9),"Q3","Q4")))</f>
        <v>Q2</v>
      </c>
      <c r="AC51" s="89" t="str">
        <f>IF(COLUMN(AC52)-2&lt;=Assumptions!$B$7,"Q1",IF(COLUMN(AC52)-2&lt;=SUM(Assumptions!$B$7:$B$8),"Q2",IF(COLUMN(AC52)-2&lt;=SUM(Assumptions!$B$7:$B$9),"Q3","Q4")))</f>
        <v>Q3</v>
      </c>
      <c r="AD51" s="89" t="str">
        <f>IF(COLUMN(AD52)-2&lt;=Assumptions!$B$7,"Q1",IF(COLUMN(AD52)-2&lt;=SUM(Assumptions!$B$7:$B$8),"Q2",IF(COLUMN(AD52)-2&lt;=SUM(Assumptions!$B$7:$B$9),"Q3","Q4")))</f>
        <v>Q3</v>
      </c>
      <c r="AE51" s="89" t="str">
        <f>IF(COLUMN(AE52)-2&lt;=Assumptions!$B$7,"Q1",IF(COLUMN(AE52)-2&lt;=SUM(Assumptions!$B$7:$B$8),"Q2",IF(COLUMN(AE52)-2&lt;=SUM(Assumptions!$B$7:$B$9),"Q3","Q4")))</f>
        <v>Q3</v>
      </c>
      <c r="AF51" s="89" t="str">
        <f>IF(COLUMN(AF52)-2&lt;=Assumptions!$B$7,"Q1",IF(COLUMN(AF52)-2&lt;=SUM(Assumptions!$B$7:$B$8),"Q2",IF(COLUMN(AF52)-2&lt;=SUM(Assumptions!$B$7:$B$9),"Q3","Q4")))</f>
        <v>Q3</v>
      </c>
      <c r="AG51" s="89" t="str">
        <f>IF(COLUMN(AG52)-2&lt;=Assumptions!$B$7,"Q1",IF(COLUMN(AG52)-2&lt;=SUM(Assumptions!$B$7:$B$8),"Q2",IF(COLUMN(AG52)-2&lt;=SUM(Assumptions!$B$7:$B$9),"Q3","Q4")))</f>
        <v>Q3</v>
      </c>
      <c r="AH51" s="89" t="str">
        <f>IF(COLUMN(AH52)-2&lt;=Assumptions!$B$7,"Q1",IF(COLUMN(AH52)-2&lt;=SUM(Assumptions!$B$7:$B$8),"Q2",IF(COLUMN(AH52)-2&lt;=SUM(Assumptions!$B$7:$B$9),"Q3","Q4")))</f>
        <v>Q3</v>
      </c>
      <c r="AI51" s="89" t="str">
        <f>IF(COLUMN(AI52)-2&lt;=Assumptions!$B$7,"Q1",IF(COLUMN(AI52)-2&lt;=SUM(Assumptions!$B$7:$B$8),"Q2",IF(COLUMN(AI52)-2&lt;=SUM(Assumptions!$B$7:$B$9),"Q3","Q4")))</f>
        <v>Q3</v>
      </c>
      <c r="AJ51" s="89" t="str">
        <f>IF(COLUMN(AJ52)-2&lt;=Assumptions!$B$7,"Q1",IF(COLUMN(AJ52)-2&lt;=SUM(Assumptions!$B$7:$B$8),"Q2",IF(COLUMN(AJ52)-2&lt;=SUM(Assumptions!$B$7:$B$9),"Q3","Q4")))</f>
        <v>Q3</v>
      </c>
      <c r="AK51" s="89" t="str">
        <f>IF(COLUMN(AK52)-2&lt;=Assumptions!$B$7,"Q1",IF(COLUMN(AK52)-2&lt;=SUM(Assumptions!$B$7:$B$8),"Q2",IF(COLUMN(AK52)-2&lt;=SUM(Assumptions!$B$7:$B$9),"Q3","Q4")))</f>
        <v>Q3</v>
      </c>
      <c r="AL51" s="89" t="str">
        <f>IF(COLUMN(AL52)-2&lt;=Assumptions!$B$7,"Q1",IF(COLUMN(AL52)-2&lt;=SUM(Assumptions!$B$7:$B$8),"Q2",IF(COLUMN(AL52)-2&lt;=SUM(Assumptions!$B$7:$B$9),"Q3","Q4")))</f>
        <v>Q3</v>
      </c>
      <c r="AM51" s="89" t="str">
        <f>IF(COLUMN(AM52)-2&lt;=Assumptions!$B$7,"Q1",IF(COLUMN(AM52)-2&lt;=SUM(Assumptions!$B$7:$B$8),"Q2",IF(COLUMN(AM52)-2&lt;=SUM(Assumptions!$B$7:$B$9),"Q3","Q4")))</f>
        <v>Q3</v>
      </c>
      <c r="AN51" s="89" t="str">
        <f>IF(COLUMN(AN52)-2&lt;=Assumptions!$B$7,"Q1",IF(COLUMN(AN52)-2&lt;=SUM(Assumptions!$B$7:$B$8),"Q2",IF(COLUMN(AN52)-2&lt;=SUM(Assumptions!$B$7:$B$9),"Q3","Q4")))</f>
        <v>Q3</v>
      </c>
      <c r="AO51" s="89" t="str">
        <f>IF(COLUMN(AO52)-2&lt;=Assumptions!$B$7,"Q1",IF(COLUMN(AO52)-2&lt;=SUM(Assumptions!$B$7:$B$8),"Q2",IF(COLUMN(AO52)-2&lt;=SUM(Assumptions!$B$7:$B$9),"Q3","Q4")))</f>
        <v>Q3</v>
      </c>
      <c r="AP51" s="89" t="str">
        <f>IF(COLUMN(AP52)-2&lt;=Assumptions!$B$7,"Q1",IF(COLUMN(AP52)-2&lt;=SUM(Assumptions!$B$7:$B$8),"Q2",IF(COLUMN(AP52)-2&lt;=SUM(Assumptions!$B$7:$B$9),"Q3","Q4")))</f>
        <v>Q4</v>
      </c>
      <c r="AQ51" s="89" t="str">
        <f>IF(COLUMN(AQ52)-2&lt;=Assumptions!$B$7,"Q1",IF(COLUMN(AQ52)-2&lt;=SUM(Assumptions!$B$7:$B$8),"Q2",IF(COLUMN(AQ52)-2&lt;=SUM(Assumptions!$B$7:$B$9),"Q3","Q4")))</f>
        <v>Q4</v>
      </c>
      <c r="AR51" s="89" t="str">
        <f>IF(COLUMN(AR52)-2&lt;=Assumptions!$B$7,"Q1",IF(COLUMN(AR52)-2&lt;=SUM(Assumptions!$B$7:$B$8),"Q2",IF(COLUMN(AR52)-2&lt;=SUM(Assumptions!$B$7:$B$9),"Q3","Q4")))</f>
        <v>Q4</v>
      </c>
      <c r="AS51" s="89" t="str">
        <f>IF(COLUMN(AS52)-2&lt;=Assumptions!$B$7,"Q1",IF(COLUMN(AS52)-2&lt;=SUM(Assumptions!$B$7:$B$8),"Q2",IF(COLUMN(AS52)-2&lt;=SUM(Assumptions!$B$7:$B$9),"Q3","Q4")))</f>
        <v>Q4</v>
      </c>
      <c r="AT51" s="89" t="str">
        <f>IF(COLUMN(AT52)-2&lt;=Assumptions!$B$7,"Q1",IF(COLUMN(AT52)-2&lt;=SUM(Assumptions!$B$7:$B$8),"Q2",IF(COLUMN(AT52)-2&lt;=SUM(Assumptions!$B$7:$B$9),"Q3","Q4")))</f>
        <v>Q4</v>
      </c>
      <c r="AU51" s="89" t="str">
        <f>IF(COLUMN(AU52)-2&lt;=Assumptions!$B$7,"Q1",IF(COLUMN(AU52)-2&lt;=SUM(Assumptions!$B$7:$B$8),"Q2",IF(COLUMN(AU52)-2&lt;=SUM(Assumptions!$B$7:$B$9),"Q3","Q4")))</f>
        <v>Q4</v>
      </c>
      <c r="AV51" s="89" t="str">
        <f>IF(COLUMN(AV52)-2&lt;=Assumptions!$B$7,"Q1",IF(COLUMN(AV52)-2&lt;=SUM(Assumptions!$B$7:$B$8),"Q2",IF(COLUMN(AV52)-2&lt;=SUM(Assumptions!$B$7:$B$9),"Q3","Q4")))</f>
        <v>Q4</v>
      </c>
      <c r="AW51" s="89" t="str">
        <f>IF(COLUMN(AW52)-2&lt;=Assumptions!$B$7,"Q1",IF(COLUMN(AW52)-2&lt;=SUM(Assumptions!$B$7:$B$8),"Q2",IF(COLUMN(AW52)-2&lt;=SUM(Assumptions!$B$7:$B$9),"Q3","Q4")))</f>
        <v>Q4</v>
      </c>
      <c r="AX51" s="89" t="str">
        <f>IF(COLUMN(AX52)-2&lt;=Assumptions!$B$7,"Q1",IF(COLUMN(AX52)-2&lt;=SUM(Assumptions!$B$7:$B$8),"Q2",IF(COLUMN(AX52)-2&lt;=SUM(Assumptions!$B$7:$B$9),"Q3","Q4")))</f>
        <v>Q4</v>
      </c>
      <c r="AY51" s="89" t="str">
        <f>IF(COLUMN(AY52)-2&lt;=Assumptions!$B$7,"Q1",IF(COLUMN(AY52)-2&lt;=SUM(Assumptions!$B$7:$B$8),"Q2",IF(COLUMN(AY52)-2&lt;=SUM(Assumptions!$B$7:$B$9),"Q3","Q4")))</f>
        <v>Q4</v>
      </c>
      <c r="AZ51" s="89" t="str">
        <f>IF(COLUMN(AZ52)-2&lt;=Assumptions!$B$7,"Q1",IF(COLUMN(AZ52)-2&lt;=SUM(Assumptions!$B$7:$B$8),"Q2",IF(COLUMN(AZ52)-2&lt;=SUM(Assumptions!$B$7:$B$9),"Q3","Q4")))</f>
        <v>Q4</v>
      </c>
      <c r="BA51" s="89" t="str">
        <f>IF(COLUMN(BA52)-2&lt;=Assumptions!$B$7,"Q1",IF(COLUMN(BA52)-2&lt;=SUM(Assumptions!$B$7:$B$8),"Q2",IF(COLUMN(BA52)-2&lt;=SUM(Assumptions!$B$7:$B$9),"Q3","Q4")))</f>
        <v>Q4</v>
      </c>
      <c r="BB51" s="89" t="str">
        <f>IF(COLUMN(BB52)-2&lt;=Assumptions!$B$7,"Q1",IF(COLUMN(BB52)-2&lt;=SUM(Assumptions!$B$7:$B$8),"Q2",IF(COLUMN(BB52)-2&lt;=SUM(Assumptions!$B$7:$B$9),"Q3","Q4")))</f>
        <v>Q4</v>
      </c>
      <c r="BC51" s="91" t="s">
        <v>101</v>
      </c>
      <c r="BD51" s="91" t="s">
        <v>102</v>
      </c>
      <c r="BE51" s="91" t="s">
        <v>103</v>
      </c>
      <c r="BF51" s="91" t="s">
        <v>104</v>
      </c>
      <c r="BG51" s="92"/>
    </row>
    <row r="52" spans="2:59" ht="15" customHeight="1" x14ac:dyDescent="0.3">
      <c r="B52" s="67"/>
      <c r="C52" s="68">
        <f ca="1">IF(ISBLANK(Assumptions!$B$5)=TRUE,DATE(YEAR(TODAY()),MONTH(TODAY()),7),DATE(YEAR(Assumptions!$B$5),MONTH(Assumptions!$B$5),DAY(Assumptions!$B$5)+6))</f>
        <v>42435</v>
      </c>
      <c r="D52" s="68">
        <f t="shared" ref="D52:AI52" ca="1" si="18">DATE(YEAR(OFFSET(D51,1,-1,1,1)),MONTH(OFFSET(D51,1,-1,1,1)),DAY(OFFSET(D51,1,-1,1,1))+7)</f>
        <v>42442</v>
      </c>
      <c r="E52" s="68">
        <f t="shared" ca="1" si="18"/>
        <v>42449</v>
      </c>
      <c r="F52" s="68">
        <f t="shared" ca="1" si="18"/>
        <v>42456</v>
      </c>
      <c r="G52" s="68">
        <f t="shared" ca="1" si="18"/>
        <v>42463</v>
      </c>
      <c r="H52" s="68">
        <f t="shared" ca="1" si="18"/>
        <v>42470</v>
      </c>
      <c r="I52" s="68">
        <f t="shared" ca="1" si="18"/>
        <v>42477</v>
      </c>
      <c r="J52" s="68">
        <f t="shared" ca="1" si="18"/>
        <v>42484</v>
      </c>
      <c r="K52" s="68">
        <f t="shared" ca="1" si="18"/>
        <v>42491</v>
      </c>
      <c r="L52" s="68">
        <f t="shared" ca="1" si="18"/>
        <v>42498</v>
      </c>
      <c r="M52" s="68">
        <f t="shared" ca="1" si="18"/>
        <v>42505</v>
      </c>
      <c r="N52" s="68">
        <f t="shared" ca="1" si="18"/>
        <v>42512</v>
      </c>
      <c r="O52" s="68">
        <f t="shared" ca="1" si="18"/>
        <v>42519</v>
      </c>
      <c r="P52" s="68">
        <f t="shared" ca="1" si="18"/>
        <v>42526</v>
      </c>
      <c r="Q52" s="68">
        <f t="shared" ca="1" si="18"/>
        <v>42533</v>
      </c>
      <c r="R52" s="68">
        <f t="shared" ca="1" si="18"/>
        <v>42540</v>
      </c>
      <c r="S52" s="68">
        <f t="shared" ca="1" si="18"/>
        <v>42547</v>
      </c>
      <c r="T52" s="68">
        <f t="shared" ca="1" si="18"/>
        <v>42554</v>
      </c>
      <c r="U52" s="68">
        <f t="shared" ca="1" si="18"/>
        <v>42561</v>
      </c>
      <c r="V52" s="68">
        <f t="shared" ca="1" si="18"/>
        <v>42568</v>
      </c>
      <c r="W52" s="68">
        <f t="shared" ca="1" si="18"/>
        <v>42575</v>
      </c>
      <c r="X52" s="68">
        <f t="shared" ca="1" si="18"/>
        <v>42582</v>
      </c>
      <c r="Y52" s="68">
        <f t="shared" ca="1" si="18"/>
        <v>42589</v>
      </c>
      <c r="Z52" s="68">
        <f t="shared" ca="1" si="18"/>
        <v>42596</v>
      </c>
      <c r="AA52" s="68">
        <f t="shared" ca="1" si="18"/>
        <v>42603</v>
      </c>
      <c r="AB52" s="68">
        <f t="shared" ca="1" si="18"/>
        <v>42610</v>
      </c>
      <c r="AC52" s="68">
        <f t="shared" ca="1" si="18"/>
        <v>42617</v>
      </c>
      <c r="AD52" s="68">
        <f t="shared" ca="1" si="18"/>
        <v>42624</v>
      </c>
      <c r="AE52" s="68">
        <f t="shared" ca="1" si="18"/>
        <v>42631</v>
      </c>
      <c r="AF52" s="68">
        <f t="shared" ca="1" si="18"/>
        <v>42638</v>
      </c>
      <c r="AG52" s="68">
        <f t="shared" ca="1" si="18"/>
        <v>42645</v>
      </c>
      <c r="AH52" s="68">
        <f t="shared" ca="1" si="18"/>
        <v>42652</v>
      </c>
      <c r="AI52" s="68">
        <f t="shared" ca="1" si="18"/>
        <v>42659</v>
      </c>
      <c r="AJ52" s="68">
        <f t="shared" ref="AJ52:BB52" ca="1" si="19">DATE(YEAR(OFFSET(AJ51,1,-1,1,1)),MONTH(OFFSET(AJ51,1,-1,1,1)),DAY(OFFSET(AJ51,1,-1,1,1))+7)</f>
        <v>42666</v>
      </c>
      <c r="AK52" s="68">
        <f t="shared" ca="1" si="19"/>
        <v>42673</v>
      </c>
      <c r="AL52" s="68">
        <f t="shared" ca="1" si="19"/>
        <v>42680</v>
      </c>
      <c r="AM52" s="68">
        <f t="shared" ca="1" si="19"/>
        <v>42687</v>
      </c>
      <c r="AN52" s="68">
        <f t="shared" ca="1" si="19"/>
        <v>42694</v>
      </c>
      <c r="AO52" s="68">
        <f t="shared" ca="1" si="19"/>
        <v>42701</v>
      </c>
      <c r="AP52" s="68">
        <f t="shared" ca="1" si="19"/>
        <v>42708</v>
      </c>
      <c r="AQ52" s="68">
        <f t="shared" ca="1" si="19"/>
        <v>42715</v>
      </c>
      <c r="AR52" s="68">
        <f t="shared" ca="1" si="19"/>
        <v>42722</v>
      </c>
      <c r="AS52" s="68">
        <f t="shared" ca="1" si="19"/>
        <v>42729</v>
      </c>
      <c r="AT52" s="68">
        <f t="shared" ca="1" si="19"/>
        <v>42736</v>
      </c>
      <c r="AU52" s="68">
        <f t="shared" ca="1" si="19"/>
        <v>42743</v>
      </c>
      <c r="AV52" s="68">
        <f t="shared" ca="1" si="19"/>
        <v>42750</v>
      </c>
      <c r="AW52" s="68">
        <f t="shared" ca="1" si="19"/>
        <v>42757</v>
      </c>
      <c r="AX52" s="68">
        <f t="shared" ca="1" si="19"/>
        <v>42764</v>
      </c>
      <c r="AY52" s="68">
        <f t="shared" ca="1" si="19"/>
        <v>42771</v>
      </c>
      <c r="AZ52" s="68">
        <f t="shared" ca="1" si="19"/>
        <v>42778</v>
      </c>
      <c r="BA52" s="68">
        <f t="shared" ca="1" si="19"/>
        <v>42785</v>
      </c>
      <c r="BB52" s="68">
        <f t="shared" ca="1" si="19"/>
        <v>42792</v>
      </c>
      <c r="BC52" s="69" t="s">
        <v>87</v>
      </c>
      <c r="BD52" s="69" t="s">
        <v>88</v>
      </c>
      <c r="BE52" s="69" t="s">
        <v>89</v>
      </c>
      <c r="BF52" s="69" t="s">
        <v>90</v>
      </c>
      <c r="BG52" s="69" t="str">
        <f ca="1">"Total "&amp;YEAR(OFFSET($BC$52,0,-1,1,1))</f>
        <v>Total 2017</v>
      </c>
    </row>
    <row r="53" spans="2:59" ht="15" customHeight="1" x14ac:dyDescent="0.35">
      <c r="B53" s="11" t="s">
        <v>67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</row>
    <row r="54" spans="2:59" ht="15" customHeight="1" x14ac:dyDescent="0.3">
      <c r="B54" s="24" t="s">
        <v>64</v>
      </c>
      <c r="C54" s="25">
        <f ca="1">OFFSET(Forecast!$B$45,0,COLUMN(C$52)-COLUMN($B$52),1,1)</f>
        <v>-2425</v>
      </c>
      <c r="D54" s="25">
        <f ca="1">OFFSET(Forecast!$B$45,0,COLUMN(D$52)-COLUMN($B$52),1,1)</f>
        <v>13169.56</v>
      </c>
      <c r="E54" s="25">
        <f ca="1">OFFSET(Forecast!$B$45,0,COLUMN(E$52)-COLUMN($B$52),1,1)</f>
        <v>12528</v>
      </c>
      <c r="F54" s="25">
        <f ca="1">OFFSET(Forecast!$B$45,0,COLUMN(F$52)-COLUMN($B$52),1,1)</f>
        <v>16487.999999999993</v>
      </c>
      <c r="G54" s="25">
        <f ca="1">OFFSET(Forecast!$B$45,0,COLUMN(G$52)-COLUMN($B$52),1,1)</f>
        <v>-3980.16</v>
      </c>
      <c r="H54" s="25">
        <f ca="1">OFFSET(Forecast!$B$45,0,COLUMN(H$52)-COLUMN($B$52),1,1)</f>
        <v>-5104.6847703796448</v>
      </c>
      <c r="I54" s="25">
        <f ca="1">OFFSET(Forecast!$B$45,0,COLUMN(I$52)-COLUMN($B$52),1,1)</f>
        <v>3061.7999999999993</v>
      </c>
      <c r="J54" s="25">
        <f ca="1">OFFSET(Forecast!$B$45,0,COLUMN(J$52)-COLUMN($B$52),1,1)</f>
        <v>14887.800000000003</v>
      </c>
      <c r="K54" s="25">
        <f ca="1">OFFSET(Forecast!$B$45,0,COLUMN(K$52)-COLUMN($B$52),1,1)</f>
        <v>-2064.9600000000028</v>
      </c>
      <c r="L54" s="25">
        <f ca="1">OFFSET(Forecast!$B$45,0,COLUMN(L$52)-COLUMN($B$52),1,1)</f>
        <v>-1352.5967825001153</v>
      </c>
      <c r="M54" s="25">
        <f ca="1">OFFSET(Forecast!$B$45,0,COLUMN(M$52)-COLUMN($B$52),1,1)</f>
        <v>16636.32</v>
      </c>
      <c r="N54" s="25">
        <f ca="1">OFFSET(Forecast!$B$45,0,COLUMN(N$52)-COLUMN($B$52),1,1)</f>
        <v>17668.8</v>
      </c>
      <c r="O54" s="25">
        <f ca="1">OFFSET(Forecast!$B$45,0,COLUMN(O$52)-COLUMN($B$52),1,1)</f>
        <v>-16999.199999999997</v>
      </c>
      <c r="P54" s="25">
        <f ca="1">OFFSET(Forecast!$B$45,0,COLUMN(P$52)-COLUMN($B$52),1,1)</f>
        <v>3201.2707252733617</v>
      </c>
      <c r="Q54" s="25">
        <f ca="1">OFFSET(Forecast!$B$45,0,COLUMN(Q$52)-COLUMN($B$52),1,1)</f>
        <v>15336</v>
      </c>
      <c r="R54" s="25">
        <f ca="1">OFFSET(Forecast!$B$45,0,COLUMN(R$52)-COLUMN($B$52),1,1)</f>
        <v>16673.399999999998</v>
      </c>
      <c r="S54" s="25">
        <f ca="1">OFFSET(Forecast!$B$45,0,COLUMN(S$52)-COLUMN($B$52),1,1)</f>
        <v>10161</v>
      </c>
      <c r="T54" s="25">
        <f ca="1">OFFSET(Forecast!$B$45,0,COLUMN(T$52)-COLUMN($B$52),1,1)</f>
        <v>-1360.7999999999956</v>
      </c>
      <c r="U54" s="25">
        <f ca="1">OFFSET(Forecast!$B$45,0,COLUMN(U$52)-COLUMN($B$52),1,1)</f>
        <v>2691.9132309780689</v>
      </c>
      <c r="V54" s="25">
        <f ca="1">OFFSET(Forecast!$B$45,0,COLUMN(V$52)-COLUMN($B$52),1,1)</f>
        <v>12560.400000000001</v>
      </c>
      <c r="W54" s="25">
        <f ca="1">OFFSET(Forecast!$B$45,0,COLUMN(W$52)-COLUMN($B$52),1,1)</f>
        <v>10890</v>
      </c>
      <c r="X54" s="25">
        <f ca="1">OFFSET(Forecast!$B$45,0,COLUMN(X$52)-COLUMN($B$52),1,1)</f>
        <v>514.79999999999563</v>
      </c>
      <c r="Y54" s="25">
        <f ca="1">OFFSET(Forecast!$B$45,0,COLUMN(Y$52)-COLUMN($B$52),1,1)</f>
        <v>3208.6992086077062</v>
      </c>
      <c r="Z54" s="25">
        <f ca="1">OFFSET(Forecast!$B$45,0,COLUMN(Z$52)-COLUMN($B$52),1,1)</f>
        <v>11019.599999999999</v>
      </c>
      <c r="AA54" s="25">
        <f ca="1">OFFSET(Forecast!$B$45,0,COLUMN(AA$52)-COLUMN($B$52),1,1)</f>
        <v>19954.799999999996</v>
      </c>
      <c r="AB54" s="25">
        <f ca="1">OFFSET(Forecast!$B$45,0,COLUMN(AB$52)-COLUMN($B$52),1,1)</f>
        <v>-6852.5999999999985</v>
      </c>
      <c r="AC54" s="25">
        <f ca="1">OFFSET(Forecast!$B$45,0,COLUMN(AC$52)-COLUMN($B$52),1,1)</f>
        <v>12960.000000000007</v>
      </c>
      <c r="AD54" s="25">
        <f ca="1">OFFSET(Forecast!$B$45,0,COLUMN(AD$52)-COLUMN($B$52),1,1)</f>
        <v>13669.916213541583</v>
      </c>
      <c r="AE54" s="25">
        <f ca="1">OFFSET(Forecast!$B$45,0,COLUMN(AE$52)-COLUMN($B$52),1,1)</f>
        <v>21636</v>
      </c>
      <c r="AF54" s="25">
        <f ca="1">OFFSET(Forecast!$B$45,0,COLUMN(AF$52)-COLUMN($B$52),1,1)</f>
        <v>20049.119999999995</v>
      </c>
      <c r="AG54" s="25">
        <f ca="1">OFFSET(Forecast!$B$45,0,COLUMN(AG$52)-COLUMN($B$52),1,1)</f>
        <v>1630.8000000000029</v>
      </c>
      <c r="AH54" s="25">
        <f ca="1">OFFSET(Forecast!$B$45,0,COLUMN(AH$52)-COLUMN($B$52),1,1)</f>
        <v>-988.78813273135711</v>
      </c>
      <c r="AI54" s="25">
        <f ca="1">OFFSET(Forecast!$B$45,0,COLUMN(AI$52)-COLUMN($B$52),1,1)</f>
        <v>21733.919999999998</v>
      </c>
      <c r="AJ54" s="25">
        <f ca="1">OFFSET(Forecast!$B$45,0,COLUMN(AJ$52)-COLUMN($B$52),1,1)</f>
        <v>7704</v>
      </c>
      <c r="AK54" s="25">
        <f ca="1">OFFSET(Forecast!$B$45,0,COLUMN(AK$52)-COLUMN($B$52),1,1)</f>
        <v>-385.19999999999709</v>
      </c>
      <c r="AL54" s="25">
        <f ca="1">OFFSET(Forecast!$B$45,0,COLUMN(AL$52)-COLUMN($B$52),1,1)</f>
        <v>4657.393857965797</v>
      </c>
      <c r="AM54" s="25">
        <f ca="1">OFFSET(Forecast!$B$45,0,COLUMN(AM$52)-COLUMN($B$52),1,1)</f>
        <v>22572</v>
      </c>
      <c r="AN54" s="25">
        <f ca="1">OFFSET(Forecast!$B$45,0,COLUMN(AN$52)-COLUMN($B$52),1,1)</f>
        <v>19584</v>
      </c>
      <c r="AO54" s="25">
        <f ca="1">OFFSET(Forecast!$B$45,0,COLUMN(AO$52)-COLUMN($B$52),1,1)</f>
        <v>-6289.1999999999971</v>
      </c>
      <c r="AP54" s="25">
        <f ca="1">OFFSET(Forecast!$B$45,0,COLUMN(AP$52)-COLUMN($B$52),1,1)</f>
        <v>20937.599999999991</v>
      </c>
      <c r="AQ54" s="25">
        <f ca="1">OFFSET(Forecast!$B$45,0,COLUMN(AQ$52)-COLUMN($B$52),1,1)</f>
        <v>1462.8699410815861</v>
      </c>
      <c r="AR54" s="25">
        <f ca="1">OFFSET(Forecast!$B$45,0,COLUMN(AR$52)-COLUMN($B$52),1,1)</f>
        <v>1389.5999999999913</v>
      </c>
      <c r="AS54" s="25">
        <f ca="1">OFFSET(Forecast!$B$45,0,COLUMN(AS$52)-COLUMN($B$52),1,1)</f>
        <v>7793.2799999999988</v>
      </c>
      <c r="AT54" s="25">
        <f ca="1">OFFSET(Forecast!$B$45,0,COLUMN(AT$52)-COLUMN($B$52),1,1)</f>
        <v>-10747.440000000002</v>
      </c>
      <c r="AU54" s="25">
        <f ca="1">OFFSET(Forecast!$B$45,0,COLUMN(AU$52)-COLUMN($B$52),1,1)</f>
        <v>-4187.3920600753827</v>
      </c>
      <c r="AV54" s="25">
        <f ca="1">OFFSET(Forecast!$B$45,0,COLUMN(AV$52)-COLUMN($B$52),1,1)</f>
        <v>14076</v>
      </c>
      <c r="AW54" s="25">
        <f ca="1">OFFSET(Forecast!$B$45,0,COLUMN(AW$52)-COLUMN($B$52),1,1)</f>
        <v>20338.559999999998</v>
      </c>
      <c r="AX54" s="25">
        <f ca="1">OFFSET(Forecast!$B$45,0,COLUMN(AX$52)-COLUMN($B$52),1,1)</f>
        <v>-3553.1999999999825</v>
      </c>
      <c r="AY54" s="25">
        <f ca="1">OFFSET(Forecast!$B$45,0,COLUMN(AY$52)-COLUMN($B$52),1,1)</f>
        <v>7921.3357462575168</v>
      </c>
      <c r="AZ54" s="25">
        <f ca="1">OFFSET(Forecast!$B$45,0,COLUMN(AZ$52)-COLUMN($B$52),1,1)</f>
        <v>20757.599999999977</v>
      </c>
      <c r="BA54" s="25">
        <f ca="1">OFFSET(Forecast!$B$45,0,COLUMN(BA$52)-COLUMN($B$52),1,1)</f>
        <v>9820.8000000000175</v>
      </c>
      <c r="BB54" s="25">
        <f ca="1">OFFSET(Forecast!$B$45,0,COLUMN(BB$52)-COLUMN($B$52),1,1)</f>
        <v>-10916.640000000014</v>
      </c>
      <c r="BC54" s="25">
        <f ca="1">SUM(OFFSET($B54,0,1,1,Assumptions!$B$7))</f>
        <v>62513.678447120226</v>
      </c>
      <c r="BD54" s="25">
        <f ca="1">SUM(OFFSET($B54,0,1+Assumptions!$B$7,1,SUM(Assumptions!$B$8)))</f>
        <v>97998.483164859121</v>
      </c>
      <c r="BE54" s="25">
        <f ca="1">SUM(OFFSET($B54,0,1+SUM(Assumptions!$B$7:$B$8),1,SUM(Assumptions!$B$9)))</f>
        <v>138533.96193877602</v>
      </c>
      <c r="BF54" s="25">
        <f ca="1">SUM(OFFSET($B54,0,1+SUM(Assumptions!$B$7:$B$9),1,SUM(Assumptions!$B$10)))</f>
        <v>75092.973627263695</v>
      </c>
      <c r="BG54" s="25">
        <f ca="1">SUM(BC54:BF54)</f>
        <v>374139.09717801906</v>
      </c>
    </row>
    <row r="55" spans="2:59" ht="15" customHeight="1" x14ac:dyDescent="0.3">
      <c r="B55" s="24" t="s">
        <v>47</v>
      </c>
      <c r="C55" s="25">
        <f ca="1">OFFSET(Forecast!$B$42,0,COLUMN(C$52)-COLUMN($B$52),1,1)</f>
        <v>9625</v>
      </c>
      <c r="D55" s="25">
        <f ca="1">OFFSET(Forecast!$B$42,0,COLUMN(D$52)-COLUMN($B$52),1,1)</f>
        <v>0</v>
      </c>
      <c r="E55" s="25">
        <f ca="1">OFFSET(Forecast!$B$42,0,COLUMN(E$52)-COLUMN($B$52),1,1)</f>
        <v>0</v>
      </c>
      <c r="F55" s="25">
        <f ca="1">OFFSET(Forecast!$B$42,0,COLUMN(F$52)-COLUMN($B$52),1,1)</f>
        <v>0</v>
      </c>
      <c r="G55" s="25">
        <f ca="1">OFFSET(Forecast!$B$42,0,COLUMN(G$52)-COLUMN($B$52),1,1)</f>
        <v>0</v>
      </c>
      <c r="H55" s="25">
        <f ca="1">OFFSET(Forecast!$B$42,0,COLUMN(H$52)-COLUMN($B$52),1,1)</f>
        <v>9502.3399588606189</v>
      </c>
      <c r="I55" s="25">
        <f ca="1">OFFSET(Forecast!$B$42,0,COLUMN(I$52)-COLUMN($B$52),1,1)</f>
        <v>0</v>
      </c>
      <c r="J55" s="25">
        <f ca="1">OFFSET(Forecast!$B$42,0,COLUMN(J$52)-COLUMN($B$52),1,1)</f>
        <v>0</v>
      </c>
      <c r="K55" s="25">
        <f ca="1">OFFSET(Forecast!$B$42,0,COLUMN(K$52)-COLUMN($B$52),1,1)</f>
        <v>0</v>
      </c>
      <c r="L55" s="25">
        <f ca="1">OFFSET(Forecast!$B$42,0,COLUMN(L$52)-COLUMN($B$52),1,1)</f>
        <v>9378.6066423612701</v>
      </c>
      <c r="M55" s="25">
        <f ca="1">OFFSET(Forecast!$B$42,0,COLUMN(M$52)-COLUMN($B$52),1,1)</f>
        <v>0</v>
      </c>
      <c r="N55" s="25">
        <f ca="1">OFFSET(Forecast!$B$42,0,COLUMN(N$52)-COLUMN($B$52),1,1)</f>
        <v>0</v>
      </c>
      <c r="O55" s="25">
        <f ca="1">OFFSET(Forecast!$B$42,0,COLUMN(O$52)-COLUMN($B$52),1,1)</f>
        <v>0</v>
      </c>
      <c r="P55" s="25">
        <f ca="1">OFFSET(Forecast!$B$42,0,COLUMN(P$52)-COLUMN($B$52),1,1)</f>
        <v>10128.790659342549</v>
      </c>
      <c r="Q55" s="25">
        <f ca="1">OFFSET(Forecast!$B$42,0,COLUMN(Q$52)-COLUMN($B$52),1,1)</f>
        <v>0</v>
      </c>
      <c r="R55" s="25">
        <f ca="1">OFFSET(Forecast!$B$42,0,COLUMN(R$52)-COLUMN($B$52),1,1)</f>
        <v>0</v>
      </c>
      <c r="S55" s="25">
        <f ca="1">OFFSET(Forecast!$B$42,0,COLUMN(S$52)-COLUMN($B$52),1,1)</f>
        <v>0</v>
      </c>
      <c r="T55" s="25">
        <f ca="1">OFFSET(Forecast!$B$42,0,COLUMN(T$52)-COLUMN($B$52),1,1)</f>
        <v>0</v>
      </c>
      <c r="U55" s="25">
        <f ca="1">OFFSET(Forecast!$B$42,0,COLUMN(U$52)-COLUMN($B$52),1,1)</f>
        <v>9991.7316236415645</v>
      </c>
      <c r="V55" s="25">
        <f ca="1">OFFSET(Forecast!$B$42,0,COLUMN(V$52)-COLUMN($B$52),1,1)</f>
        <v>0</v>
      </c>
      <c r="W55" s="25">
        <f ca="1">OFFSET(Forecast!$B$42,0,COLUMN(W$52)-COLUMN($B$52),1,1)</f>
        <v>0</v>
      </c>
      <c r="X55" s="25">
        <f ca="1">OFFSET(Forecast!$B$42,0,COLUMN(X$52)-COLUMN($B$52),1,1)</f>
        <v>0</v>
      </c>
      <c r="Y55" s="25">
        <f ca="1">OFFSET(Forecast!$B$42,0,COLUMN(Y$52)-COLUMN($B$52),1,1)</f>
        <v>9853.4733213781965</v>
      </c>
      <c r="Z55" s="25">
        <f ca="1">OFFSET(Forecast!$B$42,0,COLUMN(Z$52)-COLUMN($B$52),1,1)</f>
        <v>0</v>
      </c>
      <c r="AA55" s="25">
        <f ca="1">OFFSET(Forecast!$B$42,0,COLUMN(AA$52)-COLUMN($B$52),1,1)</f>
        <v>0</v>
      </c>
      <c r="AB55" s="25">
        <f ca="1">OFFSET(Forecast!$B$42,0,COLUMN(AB$52)-COLUMN($B$52),1,1)</f>
        <v>0</v>
      </c>
      <c r="AC55" s="25">
        <f ca="1">OFFSET(Forecast!$B$42,0,COLUMN(AC$52)-COLUMN($B$52),1,1)</f>
        <v>0</v>
      </c>
      <c r="AD55" s="25">
        <f ca="1">OFFSET(Forecast!$B$42,0,COLUMN(AD$52)-COLUMN($B$52),1,1)</f>
        <v>9714.0052589700208</v>
      </c>
      <c r="AE55" s="25">
        <f ca="1">OFFSET(Forecast!$B$42,0,COLUMN(AE$52)-COLUMN($B$52),1,1)</f>
        <v>0</v>
      </c>
      <c r="AF55" s="25">
        <f ca="1">OFFSET(Forecast!$B$42,0,COLUMN(AF$52)-COLUMN($B$52),1,1)</f>
        <v>0</v>
      </c>
      <c r="AG55" s="25">
        <f ca="1">OFFSET(Forecast!$B$42,0,COLUMN(AG$52)-COLUMN($B$52),1,1)</f>
        <v>0</v>
      </c>
      <c r="AH55" s="25">
        <f ca="1">OFFSET(Forecast!$B$42,0,COLUMN(AH$52)-COLUMN($B$52),1,1)</f>
        <v>9573.3168510157757</v>
      </c>
      <c r="AI55" s="25">
        <f ca="1">OFFSET(Forecast!$B$42,0,COLUMN(AI$52)-COLUMN($B$52),1,1)</f>
        <v>0</v>
      </c>
      <c r="AJ55" s="25">
        <f ca="1">OFFSET(Forecast!$B$42,0,COLUMN(AJ$52)-COLUMN($B$52),1,1)</f>
        <v>0</v>
      </c>
      <c r="AK55" s="25">
        <f ca="1">OFFSET(Forecast!$B$42,0,COLUMN(AK$52)-COLUMN($B$52),1,1)</f>
        <v>0</v>
      </c>
      <c r="AL55" s="25">
        <f ca="1">OFFSET(Forecast!$B$42,0,COLUMN(AL$52)-COLUMN($B$52),1,1)</f>
        <v>9431.3974194919301</v>
      </c>
      <c r="AM55" s="25">
        <f ca="1">OFFSET(Forecast!$B$42,0,COLUMN(AM$52)-COLUMN($B$52),1,1)</f>
        <v>0</v>
      </c>
      <c r="AN55" s="25">
        <f ca="1">OFFSET(Forecast!$B$42,0,COLUMN(AN$52)-COLUMN($B$52),1,1)</f>
        <v>0</v>
      </c>
      <c r="AO55" s="25">
        <f ca="1">OFFSET(Forecast!$B$42,0,COLUMN(AO$52)-COLUMN($B$52),1,1)</f>
        <v>0</v>
      </c>
      <c r="AP55" s="25">
        <f ca="1">OFFSET(Forecast!$B$42,0,COLUMN(AP$52)-COLUMN($B$52),1,1)</f>
        <v>0</v>
      </c>
      <c r="AQ55" s="25">
        <f ca="1">OFFSET(Forecast!$B$42,0,COLUMN(AQ$52)-COLUMN($B$52),1,1)</f>
        <v>9288.2361929422514</v>
      </c>
      <c r="AR55" s="25">
        <f ca="1">OFFSET(Forecast!$B$42,0,COLUMN(AR$52)-COLUMN($B$52),1,1)</f>
        <v>0</v>
      </c>
      <c r="AS55" s="25">
        <f ca="1">OFFSET(Forecast!$B$42,0,COLUMN(AS$52)-COLUMN($B$52),1,1)</f>
        <v>0</v>
      </c>
      <c r="AT55" s="25">
        <f ca="1">OFFSET(Forecast!$B$42,0,COLUMN(AT$52)-COLUMN($B$52),1,1)</f>
        <v>0</v>
      </c>
      <c r="AU55" s="25">
        <f ca="1">OFFSET(Forecast!$B$42,0,COLUMN(AU$52)-COLUMN($B$52),1,1)</f>
        <v>9143.8223056602637</v>
      </c>
      <c r="AV55" s="25">
        <f ca="1">OFFSET(Forecast!$B$42,0,COLUMN(AV$52)-COLUMN($B$52),1,1)</f>
        <v>0</v>
      </c>
      <c r="AW55" s="25">
        <f ca="1">OFFSET(Forecast!$B$42,0,COLUMN(AW$52)-COLUMN($B$52),1,1)</f>
        <v>0</v>
      </c>
      <c r="AX55" s="25">
        <f ca="1">OFFSET(Forecast!$B$42,0,COLUMN(AX$52)-COLUMN($B$52),1,1)</f>
        <v>0</v>
      </c>
      <c r="AY55" s="25">
        <f ca="1">OFFSET(Forecast!$B$42,0,COLUMN(AY$52)-COLUMN($B$52),1,1)</f>
        <v>8998.1447968645571</v>
      </c>
      <c r="AZ55" s="25">
        <f ca="1">OFFSET(Forecast!$B$42,0,COLUMN(AZ$52)-COLUMN($B$52),1,1)</f>
        <v>0</v>
      </c>
      <c r="BA55" s="25">
        <f ca="1">OFFSET(Forecast!$B$42,0,COLUMN(BA$52)-COLUMN($B$52),1,1)</f>
        <v>0</v>
      </c>
      <c r="BB55" s="25">
        <f ca="1">OFFSET(Forecast!$B$42,0,COLUMN(BB$52)-COLUMN($B$52),1,1)</f>
        <v>0</v>
      </c>
      <c r="BC55" s="25">
        <f ca="1">SUM(OFFSET($B55,0,1,1,Assumptions!$B$7))</f>
        <v>28505.946601221891</v>
      </c>
      <c r="BD55" s="25">
        <f ca="1">SUM(OFFSET($B55,0,1+Assumptions!$B$7,1,SUM(Assumptions!$B$8)))</f>
        <v>29973.99560436231</v>
      </c>
      <c r="BE55" s="25">
        <f ca="1">SUM(OFFSET($B55,0,1+SUM(Assumptions!$B$7:$B$8),1,SUM(Assumptions!$B$9)))</f>
        <v>28718.719529477727</v>
      </c>
      <c r="BF55" s="25">
        <f ca="1">SUM(OFFSET($B55,0,1+SUM(Assumptions!$B$7:$B$9),1,SUM(Assumptions!$B$10)))</f>
        <v>27430.203295467072</v>
      </c>
      <c r="BG55" s="25">
        <f ca="1">SUM(BC55:BF55)</f>
        <v>114628.86503052901</v>
      </c>
    </row>
    <row r="56" spans="2:59" ht="15" customHeight="1" x14ac:dyDescent="0.3">
      <c r="B56" s="24" t="s">
        <v>41</v>
      </c>
      <c r="C56" s="25">
        <f ca="1">OFFSET(Forecast!$B$43,0,COLUMN(C$52)-COLUMN($B$52),1,1)</f>
        <v>0</v>
      </c>
      <c r="D56" s="25">
        <f ca="1">OFFSET(Forecast!$B$43,0,COLUMN(D$52)-COLUMN($B$52),1,1)</f>
        <v>4178.4400000000005</v>
      </c>
      <c r="E56" s="25">
        <f ca="1">OFFSET(Forecast!$B$43,0,COLUMN(E$52)-COLUMN($B$52),1,1)</f>
        <v>4872</v>
      </c>
      <c r="F56" s="25">
        <f ca="1">OFFSET(Forecast!$B$43,0,COLUMN(F$52)-COLUMN($B$52),1,1)</f>
        <v>6412.0000000000018</v>
      </c>
      <c r="G56" s="25">
        <f ca="1">OFFSET(Forecast!$B$43,0,COLUMN(G$52)-COLUMN($B$52),1,1)</f>
        <v>-1547.8400000000001</v>
      </c>
      <c r="H56" s="25">
        <f ca="1">OFFSET(Forecast!$B$43,0,COLUMN(H$52)-COLUMN($B$52),1,1)</f>
        <v>-1985.1551884809742</v>
      </c>
      <c r="I56" s="25">
        <f ca="1">OFFSET(Forecast!$B$43,0,COLUMN(I$52)-COLUMN($B$52),1,1)</f>
        <v>1190.7000000000007</v>
      </c>
      <c r="J56" s="25">
        <f ca="1">OFFSET(Forecast!$B$43,0,COLUMN(J$52)-COLUMN($B$52),1,1)</f>
        <v>5789.6999999999971</v>
      </c>
      <c r="K56" s="25">
        <f ca="1">OFFSET(Forecast!$B$43,0,COLUMN(K$52)-COLUMN($B$52),1,1)</f>
        <v>-803.03999999999724</v>
      </c>
      <c r="L56" s="25">
        <f ca="1">OFFSET(Forecast!$B$43,0,COLUMN(L$52)-COLUMN($B$52),1,1)</f>
        <v>-526.00985986115484</v>
      </c>
      <c r="M56" s="25">
        <f ca="1">OFFSET(Forecast!$B$43,0,COLUMN(M$52)-COLUMN($B$52),1,1)</f>
        <v>6469.68</v>
      </c>
      <c r="N56" s="25">
        <f ca="1">OFFSET(Forecast!$B$43,0,COLUMN(N$52)-COLUMN($B$52),1,1)</f>
        <v>6871.2000000000007</v>
      </c>
      <c r="O56" s="25">
        <f ca="1">OFFSET(Forecast!$B$43,0,COLUMN(O$52)-COLUMN($B$52),1,1)</f>
        <v>-6610.8000000000029</v>
      </c>
      <c r="P56" s="25">
        <f ca="1">OFFSET(Forecast!$B$43,0,COLUMN(P$52)-COLUMN($B$52),1,1)</f>
        <v>1244.9386153840896</v>
      </c>
      <c r="Q56" s="25">
        <f ca="1">OFFSET(Forecast!$B$43,0,COLUMN(Q$52)-COLUMN($B$52),1,1)</f>
        <v>5964</v>
      </c>
      <c r="R56" s="25">
        <f ca="1">OFFSET(Forecast!$B$43,0,COLUMN(R$52)-COLUMN($B$52),1,1)</f>
        <v>6484.1000000000022</v>
      </c>
      <c r="S56" s="25">
        <f ca="1">OFFSET(Forecast!$B$43,0,COLUMN(S$52)-COLUMN($B$52),1,1)</f>
        <v>3951.5</v>
      </c>
      <c r="T56" s="25">
        <f ca="1">OFFSET(Forecast!$B$43,0,COLUMN(T$52)-COLUMN($B$52),1,1)</f>
        <v>-529.20000000000437</v>
      </c>
      <c r="U56" s="25">
        <f ca="1">OFFSET(Forecast!$B$43,0,COLUMN(U$52)-COLUMN($B$52),1,1)</f>
        <v>1046.8551453803666</v>
      </c>
      <c r="V56" s="25">
        <f ca="1">OFFSET(Forecast!$B$43,0,COLUMN(V$52)-COLUMN($B$52),1,1)</f>
        <v>4884.5999999999985</v>
      </c>
      <c r="W56" s="25">
        <f ca="1">OFFSET(Forecast!$B$43,0,COLUMN(W$52)-COLUMN($B$52),1,1)</f>
        <v>4235</v>
      </c>
      <c r="X56" s="25">
        <f ca="1">OFFSET(Forecast!$B$43,0,COLUMN(X$52)-COLUMN($B$52),1,1)</f>
        <v>200.20000000000437</v>
      </c>
      <c r="Y56" s="25">
        <f ca="1">OFFSET(Forecast!$B$43,0,COLUMN(Y$52)-COLUMN($B$52),1,1)</f>
        <v>1247.8274700140973</v>
      </c>
      <c r="Z56" s="25">
        <f ca="1">OFFSET(Forecast!$B$43,0,COLUMN(Z$52)-COLUMN($B$52),1,1)</f>
        <v>4285.4000000000015</v>
      </c>
      <c r="AA56" s="25">
        <f ca="1">OFFSET(Forecast!$B$43,0,COLUMN(AA$52)-COLUMN($B$52),1,1)</f>
        <v>7760.2000000000044</v>
      </c>
      <c r="AB56" s="25">
        <f ca="1">OFFSET(Forecast!$B$43,0,COLUMN(AB$52)-COLUMN($B$52),1,1)</f>
        <v>-2664.9000000000015</v>
      </c>
      <c r="AC56" s="25">
        <f ca="1">OFFSET(Forecast!$B$43,0,COLUMN(AC$52)-COLUMN($B$52),1,1)</f>
        <v>5039.9999999999927</v>
      </c>
      <c r="AD56" s="25">
        <f ca="1">OFFSET(Forecast!$B$43,0,COLUMN(AD$52)-COLUMN($B$52),1,1)</f>
        <v>5316.0785274883965</v>
      </c>
      <c r="AE56" s="25">
        <f ca="1">OFFSET(Forecast!$B$43,0,COLUMN(AE$52)-COLUMN($B$52),1,1)</f>
        <v>8414</v>
      </c>
      <c r="AF56" s="25">
        <f ca="1">OFFSET(Forecast!$B$43,0,COLUMN(AF$52)-COLUMN($B$52),1,1)</f>
        <v>7796.8800000000047</v>
      </c>
      <c r="AG56" s="25">
        <f ca="1">OFFSET(Forecast!$B$43,0,COLUMN(AG$52)-COLUMN($B$52),1,1)</f>
        <v>634.19999999999709</v>
      </c>
      <c r="AH56" s="25">
        <f ca="1">OFFSET(Forecast!$B$43,0,COLUMN(AH$52)-COLUMN($B$52),1,1)</f>
        <v>-384.52871828441857</v>
      </c>
      <c r="AI56" s="25">
        <f ca="1">OFFSET(Forecast!$B$43,0,COLUMN(AI$52)-COLUMN($B$52),1,1)</f>
        <v>8452.0800000000017</v>
      </c>
      <c r="AJ56" s="25">
        <f ca="1">OFFSET(Forecast!$B$43,0,COLUMN(AJ$52)-COLUMN($B$52),1,1)</f>
        <v>2996</v>
      </c>
      <c r="AK56" s="25">
        <f ca="1">OFFSET(Forecast!$B$43,0,COLUMN(AK$52)-COLUMN($B$52),1,1)</f>
        <v>-149.80000000000291</v>
      </c>
      <c r="AL56" s="25">
        <f ca="1">OFFSET(Forecast!$B$43,0,COLUMN(AL$52)-COLUMN($B$52),1,1)</f>
        <v>1811.2087225422729</v>
      </c>
      <c r="AM56" s="25">
        <f ca="1">OFFSET(Forecast!$B$43,0,COLUMN(AM$52)-COLUMN($B$52),1,1)</f>
        <v>8778</v>
      </c>
      <c r="AN56" s="25">
        <f ca="1">OFFSET(Forecast!$B$43,0,COLUMN(AN$52)-COLUMN($B$52),1,1)</f>
        <v>7616</v>
      </c>
      <c r="AO56" s="25">
        <f ca="1">OFFSET(Forecast!$B$43,0,COLUMN(AO$52)-COLUMN($B$52),1,1)</f>
        <v>-2445.8000000000029</v>
      </c>
      <c r="AP56" s="25">
        <f ca="1">OFFSET(Forecast!$B$43,0,COLUMN(AP$52)-COLUMN($B$52),1,1)</f>
        <v>8142.4000000000087</v>
      </c>
      <c r="AQ56" s="25">
        <f ca="1">OFFSET(Forecast!$B$43,0,COLUMN(AQ$52)-COLUMN($B$52),1,1)</f>
        <v>568.89386597616249</v>
      </c>
      <c r="AR56" s="25">
        <f ca="1">OFFSET(Forecast!$B$43,0,COLUMN(AR$52)-COLUMN($B$52),1,1)</f>
        <v>540.40000000000873</v>
      </c>
      <c r="AS56" s="25">
        <f ca="1">OFFSET(Forecast!$B$43,0,COLUMN(AS$52)-COLUMN($B$52),1,1)</f>
        <v>3030.7200000000012</v>
      </c>
      <c r="AT56" s="25">
        <f ca="1">OFFSET(Forecast!$B$43,0,COLUMN(AT$52)-COLUMN($B$52),1,1)</f>
        <v>-4179.5599999999977</v>
      </c>
      <c r="AU56" s="25">
        <f ca="1">OFFSET(Forecast!$B$43,0,COLUMN(AU$52)-COLUMN($B$52),1,1)</f>
        <v>-1628.430245584881</v>
      </c>
      <c r="AV56" s="25">
        <f ca="1">OFFSET(Forecast!$B$43,0,COLUMN(AV$52)-COLUMN($B$52),1,1)</f>
        <v>5474</v>
      </c>
      <c r="AW56" s="25">
        <f ca="1">OFFSET(Forecast!$B$43,0,COLUMN(AW$52)-COLUMN($B$52),1,1)</f>
        <v>7909.4400000000023</v>
      </c>
      <c r="AX56" s="25">
        <f ca="1">OFFSET(Forecast!$B$43,0,COLUMN(AX$52)-COLUMN($B$52),1,1)</f>
        <v>-1381.8000000000175</v>
      </c>
      <c r="AY56" s="25">
        <f ca="1">OFFSET(Forecast!$B$43,0,COLUMN(AY$52)-COLUMN($B$52),1,1)</f>
        <v>3080.5194568779261</v>
      </c>
      <c r="AZ56" s="25">
        <f ca="1">OFFSET(Forecast!$B$43,0,COLUMN(AZ$52)-COLUMN($B$52),1,1)</f>
        <v>8072.4000000000233</v>
      </c>
      <c r="BA56" s="25">
        <f ca="1">OFFSET(Forecast!$B$43,0,COLUMN(BA$52)-COLUMN($B$52),1,1)</f>
        <v>3819.1999999999825</v>
      </c>
      <c r="BB56" s="25">
        <f ca="1">OFFSET(Forecast!$B$43,0,COLUMN(BB$52)-COLUMN($B$52),1,1)</f>
        <v>-4245.359999999986</v>
      </c>
      <c r="BC56" s="25">
        <f ca="1">SUM(OFFSET($B56,0,1,1,Assumptions!$B$7))</f>
        <v>24310.874951657872</v>
      </c>
      <c r="BD56" s="25">
        <f ca="1">SUM(OFFSET($B56,0,1+Assumptions!$B$7,1,SUM(Assumptions!$B$8)))</f>
        <v>38110.521230778555</v>
      </c>
      <c r="BE56" s="25">
        <f ca="1">SUM(OFFSET($B56,0,1+SUM(Assumptions!$B$7:$B$8),1,SUM(Assumptions!$B$9)))</f>
        <v>53874.318531746241</v>
      </c>
      <c r="BF56" s="25">
        <f ca="1">SUM(OFFSET($B56,0,1+SUM(Assumptions!$B$7:$B$9),1,SUM(Assumptions!$B$10)))</f>
        <v>29202.823077269233</v>
      </c>
      <c r="BG56" s="25">
        <f ca="1">SUM(BC56:BF56)</f>
        <v>145498.5377914519</v>
      </c>
    </row>
    <row r="57" spans="2:59" ht="15" customHeight="1" x14ac:dyDescent="0.35">
      <c r="B57" s="36" t="s">
        <v>68</v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</row>
    <row r="58" spans="2:59" ht="15" customHeight="1" x14ac:dyDescent="0.3">
      <c r="B58" s="5" t="s">
        <v>66</v>
      </c>
      <c r="C58" s="51">
        <f ca="1">OFFSET(Forecast!$B$38,0,COLUMN(C$52)-COLUMN($B$52),1,1)</f>
        <v>0</v>
      </c>
      <c r="D58" s="51">
        <f ca="1">OFFSET(Forecast!$B$38,0,COLUMN(D$52)-COLUMN($B$52),1,1)</f>
        <v>0</v>
      </c>
      <c r="E58" s="51">
        <f ca="1">OFFSET(Forecast!$B$38,0,COLUMN(E$52)-COLUMN($B$52),1,1)</f>
        <v>0</v>
      </c>
      <c r="F58" s="51">
        <f ca="1">OFFSET(Forecast!$B$38,0,COLUMN(F$52)-COLUMN($B$52),1,1)</f>
        <v>0</v>
      </c>
      <c r="G58" s="51">
        <f ca="1">OFFSET(Forecast!$B$38,0,COLUMN(G$52)-COLUMN($B$52),1,1)</f>
        <v>13333</v>
      </c>
      <c r="H58" s="51">
        <f ca="1">OFFSET(Forecast!$B$38,0,COLUMN(H$52)-COLUMN($B$52),1,1)</f>
        <v>0</v>
      </c>
      <c r="I58" s="51">
        <f ca="1">OFFSET(Forecast!$B$38,0,COLUMN(I$52)-COLUMN($B$52),1,1)</f>
        <v>0</v>
      </c>
      <c r="J58" s="51">
        <f ca="1">OFFSET(Forecast!$B$38,0,COLUMN(J$52)-COLUMN($B$52),1,1)</f>
        <v>0</v>
      </c>
      <c r="K58" s="51">
        <f ca="1">OFFSET(Forecast!$B$38,0,COLUMN(K$52)-COLUMN($B$52),1,1)</f>
        <v>13333</v>
      </c>
      <c r="L58" s="51">
        <f ca="1">OFFSET(Forecast!$B$38,0,COLUMN(L$52)-COLUMN($B$52),1,1)</f>
        <v>0</v>
      </c>
      <c r="M58" s="51">
        <f ca="1">OFFSET(Forecast!$B$38,0,COLUMN(M$52)-COLUMN($B$52),1,1)</f>
        <v>0</v>
      </c>
      <c r="N58" s="51">
        <f ca="1">OFFSET(Forecast!$B$38,0,COLUMN(N$52)-COLUMN($B$52),1,1)</f>
        <v>0</v>
      </c>
      <c r="O58" s="51">
        <f ca="1">OFFSET(Forecast!$B$38,0,COLUMN(O$52)-COLUMN($B$52),1,1)</f>
        <v>15000</v>
      </c>
      <c r="P58" s="51">
        <f ca="1">OFFSET(Forecast!$B$38,0,COLUMN(P$52)-COLUMN($B$52),1,1)</f>
        <v>0</v>
      </c>
      <c r="Q58" s="51">
        <f ca="1">OFFSET(Forecast!$B$38,0,COLUMN(Q$52)-COLUMN($B$52),1,1)</f>
        <v>0</v>
      </c>
      <c r="R58" s="51">
        <f ca="1">OFFSET(Forecast!$B$38,0,COLUMN(R$52)-COLUMN($B$52),1,1)</f>
        <v>0</v>
      </c>
      <c r="S58" s="51">
        <f ca="1">OFFSET(Forecast!$B$38,0,COLUMN(S$52)-COLUMN($B$52),1,1)</f>
        <v>0</v>
      </c>
      <c r="T58" s="51">
        <f ca="1">OFFSET(Forecast!$B$38,0,COLUMN(T$52)-COLUMN($B$52),1,1)</f>
        <v>15000</v>
      </c>
      <c r="U58" s="51">
        <f ca="1">OFFSET(Forecast!$B$38,0,COLUMN(U$52)-COLUMN($B$52),1,1)</f>
        <v>0</v>
      </c>
      <c r="V58" s="51">
        <f ca="1">OFFSET(Forecast!$B$38,0,COLUMN(V$52)-COLUMN($B$52),1,1)</f>
        <v>0</v>
      </c>
      <c r="W58" s="51">
        <f ca="1">OFFSET(Forecast!$B$38,0,COLUMN(W$52)-COLUMN($B$52),1,1)</f>
        <v>0</v>
      </c>
      <c r="X58" s="51">
        <f ca="1">OFFSET(Forecast!$B$38,0,COLUMN(X$52)-COLUMN($B$52),1,1)</f>
        <v>15000</v>
      </c>
      <c r="Y58" s="51">
        <f ca="1">OFFSET(Forecast!$B$38,0,COLUMN(Y$52)-COLUMN($B$52),1,1)</f>
        <v>0</v>
      </c>
      <c r="Z58" s="51">
        <f ca="1">OFFSET(Forecast!$B$38,0,COLUMN(Z$52)-COLUMN($B$52),1,1)</f>
        <v>0</v>
      </c>
      <c r="AA58" s="51">
        <f ca="1">OFFSET(Forecast!$B$38,0,COLUMN(AA$52)-COLUMN($B$52),1,1)</f>
        <v>0</v>
      </c>
      <c r="AB58" s="51">
        <f ca="1">OFFSET(Forecast!$B$38,0,COLUMN(AB$52)-COLUMN($B$52),1,1)</f>
        <v>16000</v>
      </c>
      <c r="AC58" s="51">
        <f ca="1">OFFSET(Forecast!$B$38,0,COLUMN(AC$52)-COLUMN($B$52),1,1)</f>
        <v>0</v>
      </c>
      <c r="AD58" s="51">
        <f ca="1">OFFSET(Forecast!$B$38,0,COLUMN(AD$52)-COLUMN($B$52),1,1)</f>
        <v>0</v>
      </c>
      <c r="AE58" s="51">
        <f ca="1">OFFSET(Forecast!$B$38,0,COLUMN(AE$52)-COLUMN($B$52),1,1)</f>
        <v>0</v>
      </c>
      <c r="AF58" s="51">
        <f ca="1">OFFSET(Forecast!$B$38,0,COLUMN(AF$52)-COLUMN($B$52),1,1)</f>
        <v>0</v>
      </c>
      <c r="AG58" s="51">
        <f ca="1">OFFSET(Forecast!$B$38,0,COLUMN(AG$52)-COLUMN($B$52),1,1)</f>
        <v>16800</v>
      </c>
      <c r="AH58" s="51">
        <f ca="1">OFFSET(Forecast!$B$38,0,COLUMN(AH$52)-COLUMN($B$52),1,1)</f>
        <v>0</v>
      </c>
      <c r="AI58" s="51">
        <f ca="1">OFFSET(Forecast!$B$38,0,COLUMN(AI$52)-COLUMN($B$52),1,1)</f>
        <v>0</v>
      </c>
      <c r="AJ58" s="51">
        <f ca="1">OFFSET(Forecast!$B$38,0,COLUMN(AJ$52)-COLUMN($B$52),1,1)</f>
        <v>0</v>
      </c>
      <c r="AK58" s="51">
        <f ca="1">OFFSET(Forecast!$B$38,0,COLUMN(AK$52)-COLUMN($B$52),1,1)</f>
        <v>16800</v>
      </c>
      <c r="AL58" s="51">
        <f ca="1">OFFSET(Forecast!$B$38,0,COLUMN(AL$52)-COLUMN($B$52),1,1)</f>
        <v>0</v>
      </c>
      <c r="AM58" s="51">
        <f ca="1">OFFSET(Forecast!$B$38,0,COLUMN(AM$52)-COLUMN($B$52),1,1)</f>
        <v>0</v>
      </c>
      <c r="AN58" s="51">
        <f ca="1">OFFSET(Forecast!$B$38,0,COLUMN(AN$52)-COLUMN($B$52),1,1)</f>
        <v>0</v>
      </c>
      <c r="AO58" s="51">
        <f ca="1">OFFSET(Forecast!$B$38,0,COLUMN(AO$52)-COLUMN($B$52),1,1)</f>
        <v>16800</v>
      </c>
      <c r="AP58" s="51">
        <f ca="1">OFFSET(Forecast!$B$38,0,COLUMN(AP$52)-COLUMN($B$52),1,1)</f>
        <v>0</v>
      </c>
      <c r="AQ58" s="51">
        <f ca="1">OFFSET(Forecast!$B$38,0,COLUMN(AQ$52)-COLUMN($B$52),1,1)</f>
        <v>0</v>
      </c>
      <c r="AR58" s="51">
        <f ca="1">OFFSET(Forecast!$B$38,0,COLUMN(AR$52)-COLUMN($B$52),1,1)</f>
        <v>0</v>
      </c>
      <c r="AS58" s="51">
        <f ca="1">OFFSET(Forecast!$B$38,0,COLUMN(AS$52)-COLUMN($B$52),1,1)</f>
        <v>0</v>
      </c>
      <c r="AT58" s="51">
        <f ca="1">OFFSET(Forecast!$B$38,0,COLUMN(AT$52)-COLUMN($B$52),1,1)</f>
        <v>16800</v>
      </c>
      <c r="AU58" s="51">
        <f ca="1">OFFSET(Forecast!$B$38,0,COLUMN(AU$52)-COLUMN($B$52),1,1)</f>
        <v>0</v>
      </c>
      <c r="AV58" s="51">
        <f ca="1">OFFSET(Forecast!$B$38,0,COLUMN(AV$52)-COLUMN($B$52),1,1)</f>
        <v>0</v>
      </c>
      <c r="AW58" s="51">
        <f ca="1">OFFSET(Forecast!$B$38,0,COLUMN(AW$52)-COLUMN($B$52),1,1)</f>
        <v>0</v>
      </c>
      <c r="AX58" s="51">
        <f ca="1">OFFSET(Forecast!$B$38,0,COLUMN(AX$52)-COLUMN($B$52),1,1)</f>
        <v>17200</v>
      </c>
      <c r="AY58" s="51">
        <f ca="1">OFFSET(Forecast!$B$38,0,COLUMN(AY$52)-COLUMN($B$52),1,1)</f>
        <v>0</v>
      </c>
      <c r="AZ58" s="51">
        <f ca="1">OFFSET(Forecast!$B$38,0,COLUMN(AZ$52)-COLUMN($B$52),1,1)</f>
        <v>0</v>
      </c>
      <c r="BA58" s="51">
        <f ca="1">OFFSET(Forecast!$B$38,0,COLUMN(BA$52)-COLUMN($B$52),1,1)</f>
        <v>0</v>
      </c>
      <c r="BB58" s="51">
        <f ca="1">OFFSET(Forecast!$B$38,0,COLUMN(BB$52)-COLUMN($B$52),1,1)</f>
        <v>17200</v>
      </c>
      <c r="BC58" s="25">
        <f ca="1">SUM(OFFSET($B58,0,1,1,Assumptions!$B$7))</f>
        <v>41666</v>
      </c>
      <c r="BD58" s="25">
        <f ca="1">SUM(OFFSET($B58,0,1+Assumptions!$B$7,1,SUM(Assumptions!$B$8)))</f>
        <v>46000</v>
      </c>
      <c r="BE58" s="25">
        <f ca="1">SUM(OFFSET($B58,0,1+SUM(Assumptions!$B$7:$B$8),1,SUM(Assumptions!$B$9)))</f>
        <v>50400</v>
      </c>
      <c r="BF58" s="25">
        <f ca="1">SUM(OFFSET($B58,0,1+SUM(Assumptions!$B$7:$B$9),1,SUM(Assumptions!$B$10)))</f>
        <v>51200</v>
      </c>
      <c r="BG58" s="25">
        <f ca="1">SUM(BC58:BF58)</f>
        <v>189266</v>
      </c>
    </row>
    <row r="59" spans="2:59" ht="15" customHeight="1" x14ac:dyDescent="0.35">
      <c r="B59" s="6" t="s">
        <v>69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</row>
    <row r="60" spans="2:59" ht="15" customHeight="1" x14ac:dyDescent="0.3">
      <c r="B60" s="24" t="s">
        <v>28</v>
      </c>
      <c r="C60" s="25">
        <f ca="1">OFFSET(BS!$B$8,0,COLUMN(C$52)-COLUMN($B$52),1,1)-OFFSET(BS!$B$8,0,COLUMN(C$52)-COLUMN($B$52)+1,1,1)</f>
        <v>-34107.14285714287</v>
      </c>
      <c r="D60" s="25">
        <f ca="1">OFFSET(BS!$B$8,0,COLUMN(D$52)-COLUMN($B$52),1,1)-OFFSET(BS!$B$8,0,COLUMN(D$52)-COLUMN($B$52)+1,1,1)</f>
        <v>13567.857142857159</v>
      </c>
      <c r="E60" s="25">
        <f ca="1">OFFSET(BS!$B$8,0,COLUMN(E$52)-COLUMN($B$52),1,1)-OFFSET(BS!$B$8,0,COLUMN(E$52)-COLUMN($B$52)+1,1,1)</f>
        <v>-8391.6666666666861</v>
      </c>
      <c r="F60" s="25">
        <f ca="1">OFFSET(BS!$B$8,0,COLUMN(F$52)-COLUMN($B$52),1,1)-OFFSET(BS!$B$8,0,COLUMN(F$52)-COLUMN($B$52)+1,1,1)</f>
        <v>-5378.1904761904734</v>
      </c>
      <c r="G60" s="25">
        <f ca="1">OFFSET(BS!$B$8,0,COLUMN(G$52)-COLUMN($B$52),1,1)-OFFSET(BS!$B$8,0,COLUMN(G$52)-COLUMN($B$52)+1,1,1)</f>
        <v>-5866.2857142857101</v>
      </c>
      <c r="H60" s="25">
        <f ca="1">OFFSET(BS!$B$8,0,COLUMN(H$52)-COLUMN($B$52),1,1)-OFFSET(BS!$B$8,0,COLUMN(H$52)-COLUMN($B$52)+1,1,1)</f>
        <v>-2236.3571428571304</v>
      </c>
      <c r="I60" s="25">
        <f ca="1">OFFSET(BS!$B$8,0,COLUMN(I$52)-COLUMN($B$52),1,1)-OFFSET(BS!$B$8,0,COLUMN(I$52)-COLUMN($B$52)+1,1,1)</f>
        <v>9559.6428571428405</v>
      </c>
      <c r="J60" s="25">
        <f ca="1">OFFSET(BS!$B$8,0,COLUMN(J$52)-COLUMN($B$52),1,1)-OFFSET(BS!$B$8,0,COLUMN(J$52)-COLUMN($B$52)+1,1,1)</f>
        <v>2856.0714285714494</v>
      </c>
      <c r="K60" s="25">
        <f ca="1">OFFSET(BS!$B$8,0,COLUMN(K$52)-COLUMN($B$52),1,1)-OFFSET(BS!$B$8,0,COLUMN(K$52)-COLUMN($B$52)+1,1,1)</f>
        <v>2686.0714285714203</v>
      </c>
      <c r="L60" s="25">
        <f ca="1">OFFSET(BS!$B$8,0,COLUMN(L$52)-COLUMN($B$52),1,1)-OFFSET(BS!$B$8,0,COLUMN(L$52)-COLUMN($B$52)+1,1,1)</f>
        <v>-4522.5</v>
      </c>
      <c r="M60" s="25">
        <f ca="1">OFFSET(BS!$B$8,0,COLUMN(M$52)-COLUMN($B$52),1,1)-OFFSET(BS!$B$8,0,COLUMN(M$52)-COLUMN($B$52)+1,1,1)</f>
        <v>-6142.5</v>
      </c>
      <c r="N60" s="25">
        <f ca="1">OFFSET(BS!$B$8,0,COLUMN(N$52)-COLUMN($B$52),1,1)-OFFSET(BS!$B$8,0,COLUMN(N$52)-COLUMN($B$52)+1,1,1)</f>
        <v>-3060</v>
      </c>
      <c r="O60" s="25">
        <f ca="1">OFFSET(BS!$B$8,0,COLUMN(O$52)-COLUMN($B$52),1,1)-OFFSET(BS!$B$8,0,COLUMN(O$52)-COLUMN($B$52)+1,1,1)</f>
        <v>-225</v>
      </c>
      <c r="P60" s="25">
        <f ca="1">OFFSET(BS!$B$8,0,COLUMN(P$52)-COLUMN($B$52),1,1)-OFFSET(BS!$B$8,0,COLUMN(P$52)-COLUMN($B$52)+1,1,1)</f>
        <v>-4050</v>
      </c>
      <c r="Q60" s="25">
        <f ca="1">OFFSET(BS!$B$8,0,COLUMN(Q$52)-COLUMN($B$52),1,1)-OFFSET(BS!$B$8,0,COLUMN(Q$52)-COLUMN($B$52)+1,1,1)</f>
        <v>1440</v>
      </c>
      <c r="R60" s="25">
        <f ca="1">OFFSET(BS!$B$8,0,COLUMN(R$52)-COLUMN($B$52),1,1)-OFFSET(BS!$B$8,0,COLUMN(R$52)-COLUMN($B$52)+1,1,1)</f>
        <v>-427.5</v>
      </c>
      <c r="S60" s="25">
        <f ca="1">OFFSET(BS!$B$8,0,COLUMN(S$52)-COLUMN($B$52),1,1)-OFFSET(BS!$B$8,0,COLUMN(S$52)-COLUMN($B$52)+1,1,1)</f>
        <v>-2812.5</v>
      </c>
      <c r="T60" s="25">
        <f ca="1">OFFSET(BS!$B$8,0,COLUMN(T$52)-COLUMN($B$52),1,1)-OFFSET(BS!$B$8,0,COLUMN(T$52)-COLUMN($B$52)+1,1,1)</f>
        <v>-2655</v>
      </c>
      <c r="U60" s="25">
        <f ca="1">OFFSET(BS!$B$8,0,COLUMN(U$52)-COLUMN($B$52),1,1)-OFFSET(BS!$B$8,0,COLUMN(U$52)-COLUMN($B$52)+1,1,1)</f>
        <v>-4050</v>
      </c>
      <c r="V60" s="25">
        <f ca="1">OFFSET(BS!$B$8,0,COLUMN(V$52)-COLUMN($B$52),1,1)-OFFSET(BS!$B$8,0,COLUMN(V$52)-COLUMN($B$52)+1,1,1)</f>
        <v>4307.5</v>
      </c>
      <c r="W60" s="25">
        <f ca="1">OFFSET(BS!$B$8,0,COLUMN(W$52)-COLUMN($B$52),1,1)-OFFSET(BS!$B$8,0,COLUMN(W$52)-COLUMN($B$52)+1,1,1)</f>
        <v>6120</v>
      </c>
      <c r="X60" s="25">
        <f ca="1">OFFSET(BS!$B$8,0,COLUMN(X$52)-COLUMN($B$52),1,1)-OFFSET(BS!$B$8,0,COLUMN(X$52)-COLUMN($B$52)+1,1,1)</f>
        <v>1032.5</v>
      </c>
      <c r="Y60" s="25">
        <f ca="1">OFFSET(BS!$B$8,0,COLUMN(Y$52)-COLUMN($B$52),1,1)-OFFSET(BS!$B$8,0,COLUMN(Y$52)-COLUMN($B$52)+1,1,1)</f>
        <v>-567.14285714286962</v>
      </c>
      <c r="Z60" s="25">
        <f ca="1">OFFSET(BS!$B$8,0,COLUMN(Z$52)-COLUMN($B$52),1,1)-OFFSET(BS!$B$8,0,COLUMN(Z$52)-COLUMN($B$52)+1,1,1)</f>
        <v>-7727.8571428571304</v>
      </c>
      <c r="AA60" s="25">
        <f ca="1">OFFSET(BS!$B$8,0,COLUMN(AA$52)-COLUMN($B$52),1,1)-OFFSET(BS!$B$8,0,COLUMN(AA$52)-COLUMN($B$52)+1,1,1)</f>
        <v>-4185</v>
      </c>
      <c r="AB60" s="25">
        <f ca="1">OFFSET(BS!$B$8,0,COLUMN(AB$52)-COLUMN($B$52),1,1)-OFFSET(BS!$B$8,0,COLUMN(AB$52)-COLUMN($B$52)+1,1,1)</f>
        <v>-379.64285714286962</v>
      </c>
      <c r="AC60" s="25">
        <f ca="1">OFFSET(BS!$B$8,0,COLUMN(AC$52)-COLUMN($B$52),1,1)-OFFSET(BS!$B$8,0,COLUMN(AC$52)-COLUMN($B$52)+1,1,1)</f>
        <v>-315.71428571426077</v>
      </c>
      <c r="AD60" s="25">
        <f ca="1">OFFSET(BS!$B$8,0,COLUMN(AD$52)-COLUMN($B$52),1,1)-OFFSET(BS!$B$8,0,COLUMN(AD$52)-COLUMN($B$52)+1,1,1)</f>
        <v>577.85714285713038</v>
      </c>
      <c r="AE60" s="25">
        <f ca="1">OFFSET(BS!$B$8,0,COLUMN(AE$52)-COLUMN($B$52),1,1)-OFFSET(BS!$B$8,0,COLUMN(AE$52)-COLUMN($B$52)+1,1,1)</f>
        <v>-1108.9285714285797</v>
      </c>
      <c r="AF60" s="25">
        <f ca="1">OFFSET(BS!$B$8,0,COLUMN(AF$52)-COLUMN($B$52),1,1)-OFFSET(BS!$B$8,0,COLUMN(AF$52)-COLUMN($B$52)+1,1,1)</f>
        <v>1682.8571428571595</v>
      </c>
      <c r="AG60" s="25">
        <f ca="1">OFFSET(BS!$B$8,0,COLUMN(AG$52)-COLUMN($B$52),1,1)-OFFSET(BS!$B$8,0,COLUMN(AG$52)-COLUMN($B$52)+1,1,1)</f>
        <v>-814.28571428571013</v>
      </c>
      <c r="AH60" s="25">
        <f ca="1">OFFSET(BS!$B$8,0,COLUMN(AH$52)-COLUMN($B$52),1,1)-OFFSET(BS!$B$8,0,COLUMN(AH$52)-COLUMN($B$52)+1,1,1)</f>
        <v>857.14285714284051</v>
      </c>
      <c r="AI60" s="25">
        <f ca="1">OFFSET(BS!$B$8,0,COLUMN(AI$52)-COLUMN($B$52),1,1)-OFFSET(BS!$B$8,0,COLUMN(AI$52)-COLUMN($B$52)+1,1,1)</f>
        <v>-2828.5714285714203</v>
      </c>
      <c r="AJ60" s="25">
        <f ca="1">OFFSET(BS!$B$8,0,COLUMN(AJ$52)-COLUMN($B$52),1,1)-OFFSET(BS!$B$8,0,COLUMN(AJ$52)-COLUMN($B$52)+1,1,1)</f>
        <v>-4650</v>
      </c>
      <c r="AK60" s="25">
        <f ca="1">OFFSET(BS!$B$8,0,COLUMN(AK$52)-COLUMN($B$52),1,1)-OFFSET(BS!$B$8,0,COLUMN(AK$52)-COLUMN($B$52)+1,1,1)</f>
        <v>-685.71428571428987</v>
      </c>
      <c r="AL60" s="25">
        <f ca="1">OFFSET(BS!$B$8,0,COLUMN(AL$52)-COLUMN($B$52),1,1)-OFFSET(BS!$B$8,0,COLUMN(AL$52)-COLUMN($B$52)+1,1,1)</f>
        <v>-1307.1428571428696</v>
      </c>
      <c r="AM60" s="25">
        <f ca="1">OFFSET(BS!$B$8,0,COLUMN(AM$52)-COLUMN($B$52),1,1)-OFFSET(BS!$B$8,0,COLUMN(AM$52)-COLUMN($B$52)+1,1,1)</f>
        <v>-85.714285714289872</v>
      </c>
      <c r="AN60" s="25">
        <f ca="1">OFFSET(BS!$B$8,0,COLUMN(AN$52)-COLUMN($B$52),1,1)-OFFSET(BS!$B$8,0,COLUMN(AN$52)-COLUMN($B$52)+1,1,1)</f>
        <v>1157.1428571428696</v>
      </c>
      <c r="AO60" s="25">
        <f ca="1">OFFSET(BS!$B$8,0,COLUMN(AO$52)-COLUMN($B$52),1,1)-OFFSET(BS!$B$8,0,COLUMN(AO$52)-COLUMN($B$52)+1,1,1)</f>
        <v>-2185.7142857142899</v>
      </c>
      <c r="AP60" s="25">
        <f ca="1">OFFSET(BS!$B$8,0,COLUMN(AP$52)-COLUMN($B$52),1,1)-OFFSET(BS!$B$8,0,COLUMN(AP$52)-COLUMN($B$52)+1,1,1)</f>
        <v>4401.4285714285797</v>
      </c>
      <c r="AQ60" s="25">
        <f ca="1">OFFSET(BS!$B$8,0,COLUMN(AQ$52)-COLUMN($B$52),1,1)-OFFSET(BS!$B$8,0,COLUMN(AQ$52)-COLUMN($B$52)+1,1,1)</f>
        <v>11862.85714285713</v>
      </c>
      <c r="AR60" s="25">
        <f ca="1">OFFSET(BS!$B$8,0,COLUMN(AR$52)-COLUMN($B$52),1,1)-OFFSET(BS!$B$8,0,COLUMN(AR$52)-COLUMN($B$52)+1,1,1)</f>
        <v>9608.5714285714494</v>
      </c>
      <c r="AS60" s="25">
        <f ca="1">OFFSET(BS!$B$8,0,COLUMN(AS$52)-COLUMN($B$52),1,1)-OFFSET(BS!$B$8,0,COLUMN(AS$52)-COLUMN($B$52)+1,1,1)</f>
        <v>19688.57142857142</v>
      </c>
      <c r="AT60" s="25">
        <f ca="1">OFFSET(BS!$B$8,0,COLUMN(AT$52)-COLUMN($B$52),1,1)-OFFSET(BS!$B$8,0,COLUMN(AT$52)-COLUMN($B$52)+1,1,1)</f>
        <v>18990.85714285713</v>
      </c>
      <c r="AU60" s="25">
        <f ca="1">OFFSET(BS!$B$8,0,COLUMN(AU$52)-COLUMN($B$52),1,1)-OFFSET(BS!$B$8,0,COLUMN(AU$52)-COLUMN($B$52)+1,1,1)</f>
        <v>12990.857142857159</v>
      </c>
      <c r="AV60" s="25">
        <f ca="1">OFFSET(BS!$B$8,0,COLUMN(AV$52)-COLUMN($B$52),1,1)-OFFSET(BS!$B$8,0,COLUMN(AV$52)-COLUMN($B$52)+1,1,1)</f>
        <v>1812.8571428571304</v>
      </c>
      <c r="AW60" s="25">
        <f ca="1">OFFSET(BS!$B$8,0,COLUMN(AW$52)-COLUMN($B$52),1,1)-OFFSET(BS!$B$8,0,COLUMN(AW$52)-COLUMN($B$52)+1,1,1)</f>
        <v>-23441.142857142841</v>
      </c>
      <c r="AX60" s="25">
        <f ca="1">OFFSET(BS!$B$8,0,COLUMN(AX$52)-COLUMN($B$52),1,1)-OFFSET(BS!$B$8,0,COLUMN(AX$52)-COLUMN($B$52)+1,1,1)</f>
        <v>-25282.28571428571</v>
      </c>
      <c r="AY60" s="25">
        <f ca="1">OFFSET(BS!$B$8,0,COLUMN(AY$52)-COLUMN($B$52),1,1)-OFFSET(BS!$B$8,0,COLUMN(AY$52)-COLUMN($B$52)+1,1,1)</f>
        <v>-21683.14285714287</v>
      </c>
      <c r="AZ60" s="25">
        <f ca="1">OFFSET(BS!$B$8,0,COLUMN(AZ$52)-COLUMN($B$52),1,1)-OFFSET(BS!$B$8,0,COLUMN(AZ$52)-COLUMN($B$52)+1,1,1)</f>
        <v>-12912</v>
      </c>
      <c r="BA60" s="25">
        <f ca="1">OFFSET(BS!$B$8,0,COLUMN(BA$52)-COLUMN($B$52),1,1)-OFFSET(BS!$B$8,0,COLUMN(BA$52)-COLUMN($B$52)+1,1,1)</f>
        <v>-1947.4285714285797</v>
      </c>
      <c r="BB60" s="25">
        <f ca="1">OFFSET(BS!$B$8,0,COLUMN(BB$52)-COLUMN($B$52),1,1)-OFFSET(BS!$B$8,0,COLUMN(BB$52)-COLUMN($B$52)+1,1,1)</f>
        <v>-325.71428571426077</v>
      </c>
      <c r="BC60" s="25">
        <f ca="1">SUM(OFFSET($B60,0,1,1,Assumptions!$B$7))</f>
        <v>-41260</v>
      </c>
      <c r="BD60" s="25">
        <f ca="1">SUM(OFFSET($B60,0,1+Assumptions!$B$7,1,SUM(Assumptions!$B$8)))</f>
        <v>-13954.64285714287</v>
      </c>
      <c r="BE60" s="25">
        <f ca="1">SUM(OFFSET($B60,0,1+SUM(Assumptions!$B$7:$B$8),1,SUM(Assumptions!$B$9)))</f>
        <v>-9706.7857142857101</v>
      </c>
      <c r="BF60" s="25">
        <f ca="1">SUM(OFFSET($B60,0,1+SUM(Assumptions!$B$7:$B$9),1,SUM(Assumptions!$B$10)))</f>
        <v>-6235.7142857142608</v>
      </c>
      <c r="BG60" s="25">
        <f ca="1">SUM(BC60:BF60)</f>
        <v>-71157.142857142841</v>
      </c>
    </row>
    <row r="61" spans="2:59" ht="15" customHeight="1" x14ac:dyDescent="0.3">
      <c r="B61" s="24" t="s">
        <v>84</v>
      </c>
      <c r="C61" s="25">
        <f ca="1">OFFSET(BS!$B$9,0,COLUMN(C$52)-COLUMN($B$52),1,1)-OFFSET(BS!$B$9,0,COLUMN(C$52)-COLUMN($B$52)+1,1,1)</f>
        <v>-71428.57142857142</v>
      </c>
      <c r="D61" s="25">
        <f ca="1">OFFSET(BS!$B$9,0,COLUMN(D$52)-COLUMN($B$52),1,1)-OFFSET(BS!$B$9,0,COLUMN(D$52)-COLUMN($B$52)+1,1,1)</f>
        <v>22928.57142857142</v>
      </c>
      <c r="E61" s="25">
        <f ca="1">OFFSET(BS!$B$9,0,COLUMN(E$52)-COLUMN($B$52),1,1)-OFFSET(BS!$B$9,0,COLUMN(E$52)-COLUMN($B$52)+1,1,1)</f>
        <v>-14785.714285714319</v>
      </c>
      <c r="F61" s="25">
        <f ca="1">OFFSET(BS!$B$9,0,COLUMN(F$52)-COLUMN($B$52),1,1)-OFFSET(BS!$B$9,0,COLUMN(F$52)-COLUMN($B$52)+1,1,1)</f>
        <v>-9535.7142857142608</v>
      </c>
      <c r="G61" s="25">
        <f ca="1">OFFSET(BS!$B$9,0,COLUMN(G$52)-COLUMN($B$52),1,1)-OFFSET(BS!$B$9,0,COLUMN(G$52)-COLUMN($B$52)+1,1,1)</f>
        <v>-5157.1428571428405</v>
      </c>
      <c r="H61" s="25">
        <f ca="1">OFFSET(BS!$B$9,0,COLUMN(H$52)-COLUMN($B$52),1,1)-OFFSET(BS!$B$9,0,COLUMN(H$52)-COLUMN($B$52)+1,1,1)</f>
        <v>-8892.8571428571595</v>
      </c>
      <c r="I61" s="25">
        <f ca="1">OFFSET(BS!$B$9,0,COLUMN(I$52)-COLUMN($B$52),1,1)-OFFSET(BS!$B$9,0,COLUMN(I$52)-COLUMN($B$52)+1,1,1)</f>
        <v>7264.2857142857392</v>
      </c>
      <c r="J61" s="25">
        <f ca="1">OFFSET(BS!$B$9,0,COLUMN(J$52)-COLUMN($B$52),1,1)-OFFSET(BS!$B$9,0,COLUMN(J$52)-COLUMN($B$52)+1,1,1)</f>
        <v>2678.5714285714203</v>
      </c>
      <c r="K61" s="25">
        <f ca="1">OFFSET(BS!$B$9,0,COLUMN(K$52)-COLUMN($B$52),1,1)-OFFSET(BS!$B$9,0,COLUMN(K$52)-COLUMN($B$52)+1,1,1)</f>
        <v>5750</v>
      </c>
      <c r="L61" s="25">
        <f ca="1">OFFSET(BS!$B$9,0,COLUMN(L$52)-COLUMN($B$52),1,1)-OFFSET(BS!$B$9,0,COLUMN(L$52)-COLUMN($B$52)+1,1,1)</f>
        <v>-2607.1428571428405</v>
      </c>
      <c r="M61" s="25">
        <f ca="1">OFFSET(BS!$B$9,0,COLUMN(M$52)-COLUMN($B$52),1,1)-OFFSET(BS!$B$9,0,COLUMN(M$52)-COLUMN($B$52)+1,1,1)</f>
        <v>-11964.285714285739</v>
      </c>
      <c r="N61" s="25">
        <f ca="1">OFFSET(BS!$B$9,0,COLUMN(N$52)-COLUMN($B$52),1,1)-OFFSET(BS!$B$9,0,COLUMN(N$52)-COLUMN($B$52)+1,1,1)</f>
        <v>-6250</v>
      </c>
      <c r="O61" s="25">
        <f ca="1">OFFSET(BS!$B$9,0,COLUMN(O$52)-COLUMN($B$52),1,1)-OFFSET(BS!$B$9,0,COLUMN(O$52)-COLUMN($B$52)+1,1,1)</f>
        <v>-1428.5714285714203</v>
      </c>
      <c r="P61" s="25">
        <f ca="1">OFFSET(BS!$B$9,0,COLUMN(P$52)-COLUMN($B$52),1,1)-OFFSET(BS!$B$9,0,COLUMN(P$52)-COLUMN($B$52)+1,1,1)</f>
        <v>-8928.5714285714203</v>
      </c>
      <c r="Q61" s="25">
        <f ca="1">OFFSET(BS!$B$9,0,COLUMN(Q$52)-COLUMN($B$52),1,1)-OFFSET(BS!$B$9,0,COLUMN(Q$52)-COLUMN($B$52)+1,1,1)</f>
        <v>1785.7142857142608</v>
      </c>
      <c r="R61" s="25">
        <f ca="1">OFFSET(BS!$B$9,0,COLUMN(R$52)-COLUMN($B$52),1,1)-OFFSET(BS!$B$9,0,COLUMN(R$52)-COLUMN($B$52)+1,1,1)</f>
        <v>1392.8571428571595</v>
      </c>
      <c r="S61" s="25">
        <f ca="1">OFFSET(BS!$B$9,0,COLUMN(S$52)-COLUMN($B$52),1,1)-OFFSET(BS!$B$9,0,COLUMN(S$52)-COLUMN($B$52)+1,1,1)</f>
        <v>-7464.2857142857392</v>
      </c>
      <c r="T61" s="25">
        <f ca="1">OFFSET(BS!$B$9,0,COLUMN(T$52)-COLUMN($B$52),1,1)-OFFSET(BS!$B$9,0,COLUMN(T$52)-COLUMN($B$52)+1,1,1)</f>
        <v>-3857.1428571428405</v>
      </c>
      <c r="U61" s="25">
        <f ca="1">OFFSET(BS!$B$9,0,COLUMN(U$52)-COLUMN($B$52),1,1)-OFFSET(BS!$B$9,0,COLUMN(U$52)-COLUMN($B$52)+1,1,1)</f>
        <v>-4607.1428571428405</v>
      </c>
      <c r="V61" s="25">
        <f ca="1">OFFSET(BS!$B$9,0,COLUMN(V$52)-COLUMN($B$52),1,1)-OFFSET(BS!$B$9,0,COLUMN(V$52)-COLUMN($B$52)+1,1,1)</f>
        <v>3035.7142857142608</v>
      </c>
      <c r="W61" s="25">
        <f ca="1">OFFSET(BS!$B$9,0,COLUMN(W$52)-COLUMN($B$52),1,1)-OFFSET(BS!$B$9,0,COLUMN(W$52)-COLUMN($B$52)+1,1,1)</f>
        <v>5928.5714285714203</v>
      </c>
      <c r="X61" s="25">
        <f ca="1">OFFSET(BS!$B$9,0,COLUMN(X$52)-COLUMN($B$52),1,1)-OFFSET(BS!$B$9,0,COLUMN(X$52)-COLUMN($B$52)+1,1,1)</f>
        <v>357.14285714289872</v>
      </c>
      <c r="Y61" s="25">
        <f ca="1">OFFSET(BS!$B$9,0,COLUMN(Y$52)-COLUMN($B$52),1,1)-OFFSET(BS!$B$9,0,COLUMN(Y$52)-COLUMN($B$52)+1,1,1)</f>
        <v>2750</v>
      </c>
      <c r="Z61" s="25">
        <f ca="1">OFFSET(BS!$B$9,0,COLUMN(Z$52)-COLUMN($B$52),1,1)-OFFSET(BS!$B$9,0,COLUMN(Z$52)-COLUMN($B$52)+1,1,1)</f>
        <v>-10357.142857142899</v>
      </c>
      <c r="AA61" s="25">
        <f ca="1">OFFSET(BS!$B$9,0,COLUMN(AA$52)-COLUMN($B$52),1,1)-OFFSET(BS!$B$9,0,COLUMN(AA$52)-COLUMN($B$52)+1,1,1)</f>
        <v>-10857.142857142841</v>
      </c>
      <c r="AB61" s="25">
        <f ca="1">OFFSET(BS!$B$9,0,COLUMN(AB$52)-COLUMN($B$52),1,1)-OFFSET(BS!$B$9,0,COLUMN(AB$52)-COLUMN($B$52)+1,1,1)</f>
        <v>-3250</v>
      </c>
      <c r="AC61" s="25">
        <f ca="1">OFFSET(BS!$B$9,0,COLUMN(AC$52)-COLUMN($B$52),1,1)-OFFSET(BS!$B$9,0,COLUMN(AC$52)-COLUMN($B$52)+1,1,1)</f>
        <v>-5142.8571428571595</v>
      </c>
      <c r="AD61" s="25">
        <f ca="1">OFFSET(BS!$B$9,0,COLUMN(AD$52)-COLUMN($B$52),1,1)-OFFSET(BS!$B$9,0,COLUMN(AD$52)-COLUMN($B$52)+1,1,1)</f>
        <v>-3214.285714285681</v>
      </c>
      <c r="AE61" s="25">
        <f ca="1">OFFSET(BS!$B$9,0,COLUMN(AE$52)-COLUMN($B$52),1,1)-OFFSET(BS!$B$9,0,COLUMN(AE$52)-COLUMN($B$52)+1,1,1)</f>
        <v>-3392.8571428571595</v>
      </c>
      <c r="AF61" s="25">
        <f ca="1">OFFSET(BS!$B$9,0,COLUMN(AF$52)-COLUMN($B$52),1,1)-OFFSET(BS!$B$9,0,COLUMN(AF$52)-COLUMN($B$52)+1,1,1)</f>
        <v>1285.7142857142608</v>
      </c>
      <c r="AG61" s="25">
        <f ca="1">OFFSET(BS!$B$9,0,COLUMN(AG$52)-COLUMN($B$52),1,1)-OFFSET(BS!$B$9,0,COLUMN(AG$52)-COLUMN($B$52)+1,1,1)</f>
        <v>-2642.8571428571013</v>
      </c>
      <c r="AH61" s="25">
        <f ca="1">OFFSET(BS!$B$9,0,COLUMN(AH$52)-COLUMN($B$52),1,1)-OFFSET(BS!$B$9,0,COLUMN(AH$52)-COLUMN($B$52)+1,1,1)</f>
        <v>571.42857142857974</v>
      </c>
      <c r="AI61" s="25">
        <f ca="1">OFFSET(BS!$B$9,0,COLUMN(AI$52)-COLUMN($B$52),1,1)-OFFSET(BS!$B$9,0,COLUMN(AI$52)-COLUMN($B$52)+1,1,1)</f>
        <v>-2535.714285714319</v>
      </c>
      <c r="AJ61" s="25">
        <f ca="1">OFFSET(BS!$B$9,0,COLUMN(AJ$52)-COLUMN($B$52),1,1)-OFFSET(BS!$B$9,0,COLUMN(AJ$52)-COLUMN($B$52)+1,1,1)</f>
        <v>-8357.1428571428405</v>
      </c>
      <c r="AK61" s="25">
        <f ca="1">OFFSET(BS!$B$9,0,COLUMN(AK$52)-COLUMN($B$52),1,1)-OFFSET(BS!$B$9,0,COLUMN(AK$52)-COLUMN($B$52)+1,1,1)</f>
        <v>-2000</v>
      </c>
      <c r="AL61" s="25">
        <f ca="1">OFFSET(BS!$B$9,0,COLUMN(AL$52)-COLUMN($B$52),1,1)-OFFSET(BS!$B$9,0,COLUMN(AL$52)-COLUMN($B$52)+1,1,1)</f>
        <v>-3571.4285714285797</v>
      </c>
      <c r="AM61" s="25">
        <f ca="1">OFFSET(BS!$B$9,0,COLUMN(AM$52)-COLUMN($B$52),1,1)-OFFSET(BS!$B$9,0,COLUMN(AM$52)-COLUMN($B$52)+1,1,1)</f>
        <v>-2214.2857142857392</v>
      </c>
      <c r="AN61" s="25">
        <f ca="1">OFFSET(BS!$B$9,0,COLUMN(AN$52)-COLUMN($B$52),1,1)-OFFSET(BS!$B$9,0,COLUMN(AN$52)-COLUMN($B$52)+1,1,1)</f>
        <v>3178.5714285714785</v>
      </c>
      <c r="AO61" s="25">
        <f ca="1">OFFSET(BS!$B$9,0,COLUMN(AO$52)-COLUMN($B$52),1,1)-OFFSET(BS!$B$9,0,COLUMN(AO$52)-COLUMN($B$52)+1,1,1)</f>
        <v>-3285.714285714319</v>
      </c>
      <c r="AP61" s="25">
        <f ca="1">OFFSET(BS!$B$9,0,COLUMN(AP$52)-COLUMN($B$52),1,1)-OFFSET(BS!$B$9,0,COLUMN(AP$52)-COLUMN($B$52)+1,1,1)</f>
        <v>6228.5714285714203</v>
      </c>
      <c r="AQ61" s="25">
        <f ca="1">OFFSET(BS!$B$9,0,COLUMN(AQ$52)-COLUMN($B$52),1,1)-OFFSET(BS!$B$9,0,COLUMN(AQ$52)-COLUMN($B$52)+1,1,1)</f>
        <v>20592.857142857159</v>
      </c>
      <c r="AR61" s="25">
        <f ca="1">OFFSET(BS!$B$9,0,COLUMN(AR$52)-COLUMN($B$52),1,1)-OFFSET(BS!$B$9,0,COLUMN(AR$52)-COLUMN($B$52)+1,1,1)</f>
        <v>15085.714285714261</v>
      </c>
      <c r="AS61" s="25">
        <f ca="1">OFFSET(BS!$B$9,0,COLUMN(AS$52)-COLUMN($B$52),1,1)-OFFSET(BS!$B$9,0,COLUMN(AS$52)-COLUMN($B$52)+1,1,1)</f>
        <v>35657.142857142899</v>
      </c>
      <c r="AT61" s="25">
        <f ca="1">OFFSET(BS!$B$9,0,COLUMN(AT$52)-COLUMN($B$52),1,1)-OFFSET(BS!$B$9,0,COLUMN(AT$52)-COLUMN($B$52)+1,1,1)</f>
        <v>39837.142857142841</v>
      </c>
      <c r="AU61" s="25">
        <f ca="1">OFFSET(BS!$B$9,0,COLUMN(AU$52)-COLUMN($B$52),1,1)-OFFSET(BS!$B$9,0,COLUMN(AU$52)-COLUMN($B$52)+1,1,1)</f>
        <v>23665.714285714261</v>
      </c>
      <c r="AV61" s="25">
        <f ca="1">OFFSET(BS!$B$9,0,COLUMN(AV$52)-COLUMN($B$52),1,1)-OFFSET(BS!$B$9,0,COLUMN(AV$52)-COLUMN($B$52)+1,1,1)</f>
        <v>9835.714285714319</v>
      </c>
      <c r="AW61" s="25">
        <f ca="1">OFFSET(BS!$B$9,0,COLUMN(AW$52)-COLUMN($B$52),1,1)-OFFSET(BS!$B$9,0,COLUMN(AW$52)-COLUMN($B$52)+1,1,1)</f>
        <v>-29634.285714285739</v>
      </c>
      <c r="AX61" s="25">
        <f ca="1">OFFSET(BS!$B$9,0,COLUMN(AX$52)-COLUMN($B$52),1,1)-OFFSET(BS!$B$9,0,COLUMN(AX$52)-COLUMN($B$52)+1,1,1)</f>
        <v>-41214.285714285681</v>
      </c>
      <c r="AY61" s="25">
        <f ca="1">OFFSET(BS!$B$9,0,COLUMN(AY$52)-COLUMN($B$52),1,1)-OFFSET(BS!$B$9,0,COLUMN(AY$52)-COLUMN($B$52)+1,1,1)</f>
        <v>-42908.57142857142</v>
      </c>
      <c r="AZ61" s="25">
        <f ca="1">OFFSET(BS!$B$9,0,COLUMN(AZ$52)-COLUMN($B$52),1,1)-OFFSET(BS!$B$9,0,COLUMN(AZ$52)-COLUMN($B$52)+1,1,1)</f>
        <v>-36944.285714285739</v>
      </c>
      <c r="BA61" s="25">
        <f ca="1">OFFSET(BS!$B$9,0,COLUMN(BA$52)-COLUMN($B$52),1,1)-OFFSET(BS!$B$9,0,COLUMN(BA$52)-COLUMN($B$52)+1,1,1)</f>
        <v>-10800</v>
      </c>
      <c r="BB61" s="25">
        <f ca="1">OFFSET(BS!$B$9,0,COLUMN(BB$52)-COLUMN($B$52),1,1)-OFFSET(BS!$B$9,0,COLUMN(BB$52)-COLUMN($B$52)+1,1,1)</f>
        <v>-1222.8571428571595</v>
      </c>
      <c r="BC61" s="25">
        <f ca="1">SUM(OFFSET($B61,0,1,1,Assumptions!$B$7))</f>
        <v>-93428.57142857142</v>
      </c>
      <c r="BD61" s="25">
        <f ca="1">SUM(OFFSET($B61,0,1+Assumptions!$B$7,1,SUM(Assumptions!$B$8)))</f>
        <v>-34071.42857142858</v>
      </c>
      <c r="BE61" s="25">
        <f ca="1">SUM(OFFSET($B61,0,1+SUM(Assumptions!$B$7:$B$8),1,SUM(Assumptions!$B$9)))</f>
        <v>-31321.42857142858</v>
      </c>
      <c r="BF61" s="25">
        <f ca="1">SUM(OFFSET($B61,0,1+SUM(Assumptions!$B$7:$B$9),1,SUM(Assumptions!$B$10)))</f>
        <v>-11821.42857142858</v>
      </c>
      <c r="BG61" s="25">
        <f ca="1">SUM(BC61:BF61)</f>
        <v>-170642.85714285716</v>
      </c>
    </row>
    <row r="62" spans="2:59" ht="15" customHeight="1" x14ac:dyDescent="0.3">
      <c r="B62" s="24" t="s">
        <v>85</v>
      </c>
      <c r="C62" s="52">
        <f ca="1">OFFSET(BS!$B$17,0,COLUMN(C$52)-COLUMN($B$52)+1,1,1)-OFFSET(BS!$B$17,0,COLUMN(C$52)-COLUMN($B$52),1,1)</f>
        <v>35285.71428571429</v>
      </c>
      <c r="D62" s="52">
        <f ca="1">OFFSET(BS!$B$17,0,COLUMN(D$52)-COLUMN($B$52)+1,1,1)-OFFSET(BS!$B$17,0,COLUMN(D$52)-COLUMN($B$52),1,1)</f>
        <v>-22337.142857142855</v>
      </c>
      <c r="E62" s="52">
        <f ca="1">OFFSET(BS!$B$17,0,COLUMN(E$52)-COLUMN($B$52)+1,1,1)-OFFSET(BS!$B$17,0,COLUMN(E$52)-COLUMN($B$52),1,1)</f>
        <v>-3710.8571428571449</v>
      </c>
      <c r="F62" s="52">
        <f ca="1">OFFSET(BS!$B$17,0,COLUMN(F$52)-COLUMN($B$52)+1,1,1)-OFFSET(BS!$B$17,0,COLUMN(F$52)-COLUMN($B$52),1,1)</f>
        <v>9169.7142857142753</v>
      </c>
      <c r="G62" s="52">
        <f ca="1">OFFSET(BS!$B$17,0,COLUMN(G$52)-COLUMN($B$52)+1,1,1)-OFFSET(BS!$B$17,0,COLUMN(G$52)-COLUMN($B$52),1,1)</f>
        <v>12080.428571428565</v>
      </c>
      <c r="H62" s="52">
        <f ca="1">OFFSET(BS!$B$17,0,COLUMN(H$52)-COLUMN($B$52)+1,1,1)-OFFSET(BS!$B$17,0,COLUMN(H$52)-COLUMN($B$52),1,1)</f>
        <v>14237.5</v>
      </c>
      <c r="I62" s="52">
        <f ca="1">OFFSET(BS!$B$17,0,COLUMN(I$52)-COLUMN($B$52)+1,1,1)-OFFSET(BS!$B$17,0,COLUMN(I$52)-COLUMN($B$52),1,1)</f>
        <v>-6541.0714285714203</v>
      </c>
      <c r="J62" s="52">
        <f ca="1">OFFSET(BS!$B$17,0,COLUMN(J$52)-COLUMN($B$52)+1,1,1)-OFFSET(BS!$B$17,0,COLUMN(J$52)-COLUMN($B$52),1,1)</f>
        <v>-15566.07142857142</v>
      </c>
      <c r="K62" s="52">
        <f ca="1">OFFSET(BS!$B$17,0,COLUMN(K$52)-COLUMN($B$52)+1,1,1)-OFFSET(BS!$B$17,0,COLUMN(K$52)-COLUMN($B$52),1,1)</f>
        <v>-868.21428571428987</v>
      </c>
      <c r="L62" s="52">
        <f ca="1">OFFSET(BS!$B$17,0,COLUMN(L$52)-COLUMN($B$52)+1,1,1)-OFFSET(BS!$B$17,0,COLUMN(L$52)-COLUMN($B$52),1,1)</f>
        <v>13581.07142857142</v>
      </c>
      <c r="M62" s="52">
        <f ca="1">OFFSET(BS!$B$17,0,COLUMN(M$52)-COLUMN($B$52)+1,1,1)-OFFSET(BS!$B$17,0,COLUMN(M$52)-COLUMN($B$52),1,1)</f>
        <v>-4217.7857142857101</v>
      </c>
      <c r="N62" s="52">
        <f ca="1">OFFSET(BS!$B$17,0,COLUMN(N$52)-COLUMN($B$52)+1,1,1)-OFFSET(BS!$B$17,0,COLUMN(N$52)-COLUMN($B$52),1,1)</f>
        <v>-13902.142857142855</v>
      </c>
      <c r="O62" s="52">
        <f ca="1">OFFSET(BS!$B$17,0,COLUMN(O$52)-COLUMN($B$52)+1,1,1)-OFFSET(BS!$B$17,0,COLUMN(O$52)-COLUMN($B$52),1,1)</f>
        <v>24843.714285714275</v>
      </c>
      <c r="P62" s="52">
        <f ca="1">OFFSET(BS!$B$17,0,COLUMN(P$52)-COLUMN($B$52)+1,1,1)-OFFSET(BS!$B$17,0,COLUMN(P$52)-COLUMN($B$52),1,1)</f>
        <v>15188.71428571429</v>
      </c>
      <c r="Q62" s="52">
        <f ca="1">OFFSET(BS!$B$17,0,COLUMN(Q$52)-COLUMN($B$52)+1,1,1)-OFFSET(BS!$B$17,0,COLUMN(Q$52)-COLUMN($B$52),1,1)</f>
        <v>-23317.142857142841</v>
      </c>
      <c r="R62" s="52">
        <f ca="1">OFFSET(BS!$B$17,0,COLUMN(R$52)-COLUMN($B$52)+1,1,1)-OFFSET(BS!$B$17,0,COLUMN(R$52)-COLUMN($B$52),1,1)</f>
        <v>-17216.071428571435</v>
      </c>
      <c r="S62" s="52">
        <f ca="1">OFFSET(BS!$B$17,0,COLUMN(S$52)-COLUMN($B$52)+1,1,1)-OFFSET(BS!$B$17,0,COLUMN(S$52)-COLUMN($B$52),1,1)</f>
        <v>11405.357142857145</v>
      </c>
      <c r="T62" s="52">
        <f ca="1">OFFSET(BS!$B$17,0,COLUMN(T$52)-COLUMN($B$52)+1,1,1)-OFFSET(BS!$B$17,0,COLUMN(T$52)-COLUMN($B$52),1,1)</f>
        <v>17639.28571428571</v>
      </c>
      <c r="U62" s="52">
        <f ca="1">OFFSET(BS!$B$17,0,COLUMN(U$52)-COLUMN($B$52)+1,1,1)-OFFSET(BS!$B$17,0,COLUMN(U$52)-COLUMN($B$52),1,1)</f>
        <v>2959.8571428571304</v>
      </c>
      <c r="V62" s="52">
        <f ca="1">OFFSET(BS!$B$17,0,COLUMN(V$52)-COLUMN($B$52)+1,1,1)-OFFSET(BS!$B$17,0,COLUMN(V$52)-COLUMN($B$52),1,1)</f>
        <v>-14870.35714285713</v>
      </c>
      <c r="W62" s="52">
        <f ca="1">OFFSET(BS!$B$17,0,COLUMN(W$52)-COLUMN($B$52)+1,1,1)-OFFSET(BS!$B$17,0,COLUMN(W$52)-COLUMN($B$52),1,1)</f>
        <v>-9733.1428571428696</v>
      </c>
      <c r="X62" s="52">
        <f ca="1">OFFSET(BS!$B$17,0,COLUMN(X$52)-COLUMN($B$52)+1,1,1)-OFFSET(BS!$B$17,0,COLUMN(X$52)-COLUMN($B$52),1,1)</f>
        <v>9877.9285714285797</v>
      </c>
      <c r="Y62" s="52">
        <f ca="1">OFFSET(BS!$B$17,0,COLUMN(Y$52)-COLUMN($B$52)+1,1,1)-OFFSET(BS!$B$17,0,COLUMN(Y$52)-COLUMN($B$52),1,1)</f>
        <v>7075</v>
      </c>
      <c r="Z62" s="52">
        <f ca="1">OFFSET(BS!$B$17,0,COLUMN(Z$52)-COLUMN($B$52)+1,1,1)-OFFSET(BS!$B$17,0,COLUMN(Z$52)-COLUMN($B$52),1,1)</f>
        <v>4575.7142857142899</v>
      </c>
      <c r="AA62" s="52">
        <f ca="1">OFFSET(BS!$B$17,0,COLUMN(AA$52)-COLUMN($B$52)+1,1,1)-OFFSET(BS!$B$17,0,COLUMN(AA$52)-COLUMN($B$52),1,1)</f>
        <v>-8882.8571428571304</v>
      </c>
      <c r="AB62" s="52">
        <f ca="1">OFFSET(BS!$B$17,0,COLUMN(AB$52)-COLUMN($B$52)+1,1,1)-OFFSET(BS!$B$17,0,COLUMN(AB$52)-COLUMN($B$52),1,1)</f>
        <v>7287.5</v>
      </c>
      <c r="AC62" s="52">
        <f ca="1">OFFSET(BS!$B$17,0,COLUMN(AC$52)-COLUMN($B$52)+1,1,1)-OFFSET(BS!$B$17,0,COLUMN(AC$52)-COLUMN($B$52),1,1)</f>
        <v>9013.5714285714203</v>
      </c>
      <c r="AD62" s="52">
        <f ca="1">OFFSET(BS!$B$17,0,COLUMN(AD$52)-COLUMN($B$52)+1,1,1)-OFFSET(BS!$B$17,0,COLUMN(AD$52)-COLUMN($B$52),1,1)</f>
        <v>-15577.14285714287</v>
      </c>
      <c r="AE62" s="52">
        <f ca="1">OFFSET(BS!$B$17,0,COLUMN(AE$52)-COLUMN($B$52)+1,1,1)-OFFSET(BS!$B$17,0,COLUMN(AE$52)-COLUMN($B$52),1,1)</f>
        <v>-10873.928571428551</v>
      </c>
      <c r="AF62" s="52">
        <f ca="1">OFFSET(BS!$B$17,0,COLUMN(AF$52)-COLUMN($B$52)+1,1,1)-OFFSET(BS!$B$17,0,COLUMN(AF$52)-COLUMN($B$52),1,1)</f>
        <v>-5210.2857142857392</v>
      </c>
      <c r="AG62" s="52">
        <f ca="1">OFFSET(BS!$B$17,0,COLUMN(AG$52)-COLUMN($B$52)+1,1,1)-OFFSET(BS!$B$17,0,COLUMN(AG$52)-COLUMN($B$52),1,1)</f>
        <v>10435</v>
      </c>
      <c r="AH62" s="52">
        <f ca="1">OFFSET(BS!$B$17,0,COLUMN(AH$52)-COLUMN($B$52)+1,1,1)-OFFSET(BS!$B$17,0,COLUMN(AH$52)-COLUMN($B$52),1,1)</f>
        <v>22889.42857142858</v>
      </c>
      <c r="AI62" s="52">
        <f ca="1">OFFSET(BS!$B$17,0,COLUMN(AI$52)-COLUMN($B$52)+1,1,1)-OFFSET(BS!$B$17,0,COLUMN(AI$52)-COLUMN($B$52),1,1)</f>
        <v>-6366.5714285714203</v>
      </c>
      <c r="AJ62" s="52">
        <f ca="1">OFFSET(BS!$B$17,0,COLUMN(AJ$52)-COLUMN($B$52)+1,1,1)-OFFSET(BS!$B$17,0,COLUMN(AJ$52)-COLUMN($B$52),1,1)</f>
        <v>5087.8571428571304</v>
      </c>
      <c r="AK62" s="52">
        <f ca="1">OFFSET(BS!$B$17,0,COLUMN(AK$52)-COLUMN($B$52)+1,1,1)-OFFSET(BS!$B$17,0,COLUMN(AK$52)-COLUMN($B$52),1,1)</f>
        <v>9137.2857142857101</v>
      </c>
      <c r="AL62" s="52">
        <f ca="1">OFFSET(BS!$B$17,0,COLUMN(AL$52)-COLUMN($B$52)+1,1,1)-OFFSET(BS!$B$17,0,COLUMN(AL$52)-COLUMN($B$52),1,1)</f>
        <v>-4380.5714285714203</v>
      </c>
      <c r="AM62" s="52">
        <f ca="1">OFFSET(BS!$B$17,0,COLUMN(AM$52)-COLUMN($B$52)+1,1,1)-OFFSET(BS!$B$17,0,COLUMN(AM$52)-COLUMN($B$52),1,1)</f>
        <v>-13237.142857142841</v>
      </c>
      <c r="AN62" s="52">
        <f ca="1">OFFSET(BS!$B$17,0,COLUMN(AN$52)-COLUMN($B$52)+1,1,1)-OFFSET(BS!$B$17,0,COLUMN(AN$52)-COLUMN($B$52),1,1)</f>
        <v>-12462.14285714287</v>
      </c>
      <c r="AO62" s="52">
        <f ca="1">OFFSET(BS!$B$17,0,COLUMN(AO$52)-COLUMN($B$52)+1,1,1)-OFFSET(BS!$B$17,0,COLUMN(AO$52)-COLUMN($B$52),1,1)</f>
        <v>22506.42857142858</v>
      </c>
      <c r="AP62" s="52">
        <f ca="1">OFFSET(BS!$B$17,0,COLUMN(AP$52)-COLUMN($B$52)+1,1,1)-OFFSET(BS!$B$17,0,COLUMN(AP$52)-COLUMN($B$52),1,1)</f>
        <v>-6980</v>
      </c>
      <c r="AQ62" s="52">
        <f ca="1">OFFSET(BS!$B$17,0,COLUMN(AQ$52)-COLUMN($B$52)+1,1,1)-OFFSET(BS!$B$17,0,COLUMN(AQ$52)-COLUMN($B$52),1,1)</f>
        <v>-22150</v>
      </c>
      <c r="AR62" s="52">
        <f ca="1">OFFSET(BS!$B$17,0,COLUMN(AR$52)-COLUMN($B$52)+1,1,1)-OFFSET(BS!$B$17,0,COLUMN(AR$52)-COLUMN($B$52),1,1)</f>
        <v>13819.28571428571</v>
      </c>
      <c r="AS62" s="52">
        <f ca="1">OFFSET(BS!$B$17,0,COLUMN(AS$52)-COLUMN($B$52)+1,1,1)-OFFSET(BS!$B$17,0,COLUMN(AS$52)-COLUMN($B$52),1,1)</f>
        <v>-13409.71428571429</v>
      </c>
      <c r="AT62" s="52">
        <f ca="1">OFFSET(BS!$B$17,0,COLUMN(AT$52)-COLUMN($B$52)+1,1,1)-OFFSET(BS!$B$17,0,COLUMN(AT$52)-COLUMN($B$52),1,1)</f>
        <v>-26224.428571428565</v>
      </c>
      <c r="AU62" s="52">
        <f ca="1">OFFSET(BS!$B$17,0,COLUMN(AU$52)-COLUMN($B$52)+1,1,1)-OFFSET(BS!$B$17,0,COLUMN(AU$52)-COLUMN($B$52),1,1)</f>
        <v>-1797.4285714285797</v>
      </c>
      <c r="AV62" s="52">
        <f ca="1">OFFSET(BS!$B$17,0,COLUMN(AV$52)-COLUMN($B$52)+1,1,1)-OFFSET(BS!$B$17,0,COLUMN(AV$52)-COLUMN($B$52),1,1)</f>
        <v>-551.14285714285506</v>
      </c>
      <c r="AW62" s="52">
        <f ca="1">OFFSET(BS!$B$17,0,COLUMN(AW$52)-COLUMN($B$52)+1,1,1)-OFFSET(BS!$B$17,0,COLUMN(AW$52)-COLUMN($B$52),1,1)</f>
        <v>15786.428571428565</v>
      </c>
      <c r="AX62" s="52">
        <f ca="1">OFFSET(BS!$B$17,0,COLUMN(AX$52)-COLUMN($B$52)+1,1,1)-OFFSET(BS!$B$17,0,COLUMN(AX$52)-COLUMN($B$52),1,1)</f>
        <v>33564.714285714304</v>
      </c>
      <c r="AY62" s="52">
        <f ca="1">OFFSET(BS!$B$17,0,COLUMN(AY$52)-COLUMN($B$52)+1,1,1)-OFFSET(BS!$B$17,0,COLUMN(AY$52)-COLUMN($B$52),1,1)</f>
        <v>12295.428571428551</v>
      </c>
      <c r="AZ62" s="52">
        <f ca="1">OFFSET(BS!$B$17,0,COLUMN(AZ$52)-COLUMN($B$52)+1,1,1)-OFFSET(BS!$B$17,0,COLUMN(AZ$52)-COLUMN($B$52),1,1)</f>
        <v>-7870.2857142857101</v>
      </c>
      <c r="BA62" s="52">
        <f ca="1">OFFSET(BS!$B$17,0,COLUMN(BA$52)-COLUMN($B$52)+1,1,1)-OFFSET(BS!$B$17,0,COLUMN(BA$52)-COLUMN($B$52),1,1)</f>
        <v>7140.7142857142899</v>
      </c>
      <c r="BB62" s="52">
        <f ca="1">OFFSET(BS!$B$17,0,COLUMN(BB$52)-COLUMN($B$52)+1,1,1)-OFFSET(BS!$B$17,0,COLUMN(BB$52)-COLUMN($B$52),1,1)</f>
        <v>21073.42857142858</v>
      </c>
      <c r="BC62" s="52">
        <f ca="1">SUM(OFFSET($B62,0,1,1,Assumptions!$B$7))</f>
        <v>42054.85714285713</v>
      </c>
      <c r="BD62" s="52">
        <f ca="1">SUM(OFFSET($B62,0,1+Assumptions!$B$7,1,SUM(Assumptions!$B$8)))</f>
        <v>1989.7857142857392</v>
      </c>
      <c r="BE62" s="52">
        <f ca="1">SUM(OFFSET($B62,0,1+SUM(Assumptions!$B$7:$B$8),1,SUM(Assumptions!$B$9)))</f>
        <v>10961.78571428571</v>
      </c>
      <c r="BF62" s="52">
        <f ca="1">SUM(OFFSET($B62,0,1+SUM(Assumptions!$B$7:$B$9),1,SUM(Assumptions!$B$10)))</f>
        <v>24697</v>
      </c>
      <c r="BG62" s="52">
        <f ca="1">SUM(BC62:BF62)</f>
        <v>79703.42857142858</v>
      </c>
    </row>
    <row r="63" spans="2:59" ht="15" customHeight="1" x14ac:dyDescent="0.35">
      <c r="B63" s="6" t="s">
        <v>70</v>
      </c>
      <c r="C63" s="53">
        <f t="shared" ref="C63:AH63" ca="1" si="20">SUM(C54:C62)</f>
        <v>-63050</v>
      </c>
      <c r="D63" s="53">
        <f t="shared" ca="1" si="20"/>
        <v>31507.285714285725</v>
      </c>
      <c r="E63" s="53">
        <f t="shared" ca="1" si="20"/>
        <v>-9488.23809523815</v>
      </c>
      <c r="F63" s="53">
        <f t="shared" ca="1" si="20"/>
        <v>17155.809523809534</v>
      </c>
      <c r="G63" s="53">
        <f t="shared" ca="1" si="20"/>
        <v>8862.0000000000146</v>
      </c>
      <c r="H63" s="53">
        <f t="shared" ca="1" si="20"/>
        <v>5520.7857142857101</v>
      </c>
      <c r="I63" s="53">
        <f t="shared" ca="1" si="20"/>
        <v>14535.357142857159</v>
      </c>
      <c r="J63" s="53">
        <f t="shared" ca="1" si="20"/>
        <v>10646.071428571449</v>
      </c>
      <c r="K63" s="53">
        <f t="shared" ca="1" si="20"/>
        <v>18032.85714285713</v>
      </c>
      <c r="L63" s="53">
        <f t="shared" ca="1" si="20"/>
        <v>13951.42857142858</v>
      </c>
      <c r="M63" s="53">
        <f t="shared" ca="1" si="20"/>
        <v>781.42857142855064</v>
      </c>
      <c r="N63" s="53">
        <f t="shared" ca="1" si="20"/>
        <v>1327.8571428571449</v>
      </c>
      <c r="O63" s="53">
        <f t="shared" ca="1" si="20"/>
        <v>14580.142857142855</v>
      </c>
      <c r="P63" s="53">
        <f t="shared" ca="1" si="20"/>
        <v>16785.14285714287</v>
      </c>
      <c r="Q63" s="53">
        <f t="shared" ca="1" si="20"/>
        <v>1208.5714285714203</v>
      </c>
      <c r="R63" s="53">
        <f t="shared" ca="1" si="20"/>
        <v>6906.7857142857247</v>
      </c>
      <c r="S63" s="53">
        <f t="shared" ca="1" si="20"/>
        <v>15241.071428571406</v>
      </c>
      <c r="T63" s="53">
        <f t="shared" ca="1" si="20"/>
        <v>24237.14285714287</v>
      </c>
      <c r="U63" s="53">
        <f t="shared" ca="1" si="20"/>
        <v>8033.2142857142899</v>
      </c>
      <c r="V63" s="53">
        <f t="shared" ca="1" si="20"/>
        <v>9917.8571428571304</v>
      </c>
      <c r="W63" s="53">
        <f t="shared" ca="1" si="20"/>
        <v>17440.428571428551</v>
      </c>
      <c r="X63" s="53">
        <f t="shared" ca="1" si="20"/>
        <v>26982.571428571478</v>
      </c>
      <c r="Y63" s="53">
        <f t="shared" ca="1" si="20"/>
        <v>23567.85714285713</v>
      </c>
      <c r="Z63" s="53">
        <f t="shared" ca="1" si="20"/>
        <v>1795.7142857142608</v>
      </c>
      <c r="AA63" s="53">
        <f t="shared" ca="1" si="20"/>
        <v>3790.0000000000291</v>
      </c>
      <c r="AB63" s="53">
        <f t="shared" ca="1" si="20"/>
        <v>10140.35714285713</v>
      </c>
      <c r="AC63" s="53">
        <f t="shared" ca="1" si="20"/>
        <v>21555</v>
      </c>
      <c r="AD63" s="53">
        <f t="shared" ca="1" si="20"/>
        <v>10486.42857142858</v>
      </c>
      <c r="AE63" s="53">
        <f t="shared" ca="1" si="20"/>
        <v>14674.28571428571</v>
      </c>
      <c r="AF63" s="53">
        <f t="shared" ca="1" si="20"/>
        <v>25604.285714285681</v>
      </c>
      <c r="AG63" s="53">
        <f t="shared" ca="1" si="20"/>
        <v>26042.857142857189</v>
      </c>
      <c r="AH63" s="53">
        <f t="shared" ca="1" si="20"/>
        <v>32518</v>
      </c>
      <c r="AI63" s="53">
        <f t="shared" ref="AI63:BG63" ca="1" si="21">SUM(AI54:AI62)</f>
        <v>18455.142857142841</v>
      </c>
      <c r="AJ63" s="53">
        <f t="shared" ca="1" si="21"/>
        <v>2780.7142857142899</v>
      </c>
      <c r="AK63" s="53">
        <f t="shared" ca="1" si="21"/>
        <v>22716.57142857142</v>
      </c>
      <c r="AL63" s="53">
        <f t="shared" ca="1" si="21"/>
        <v>6640.8571428571304</v>
      </c>
      <c r="AM63" s="53">
        <f t="shared" ca="1" si="21"/>
        <v>15812.85714285713</v>
      </c>
      <c r="AN63" s="53">
        <f t="shared" ca="1" si="21"/>
        <v>19073.571428571478</v>
      </c>
      <c r="AO63" s="53">
        <f t="shared" ca="1" si="21"/>
        <v>25099.999999999971</v>
      </c>
      <c r="AP63" s="53">
        <f t="shared" ca="1" si="21"/>
        <v>32730</v>
      </c>
      <c r="AQ63" s="53">
        <f t="shared" ca="1" si="21"/>
        <v>21625.71428571429</v>
      </c>
      <c r="AR63" s="53">
        <f t="shared" ca="1" si="21"/>
        <v>40443.57142857142</v>
      </c>
      <c r="AS63" s="53">
        <f t="shared" ca="1" si="21"/>
        <v>52760.000000000029</v>
      </c>
      <c r="AT63" s="53">
        <f t="shared" ca="1" si="21"/>
        <v>34476.571428571406</v>
      </c>
      <c r="AU63" s="53">
        <f t="shared" ca="1" si="21"/>
        <v>38187.142857142841</v>
      </c>
      <c r="AV63" s="53">
        <f t="shared" ca="1" si="21"/>
        <v>30647.428571428594</v>
      </c>
      <c r="AW63" s="53">
        <f t="shared" ca="1" si="21"/>
        <v>-9041.0000000000146</v>
      </c>
      <c r="AX63" s="53">
        <f t="shared" ca="1" si="21"/>
        <v>-20666.857142857087</v>
      </c>
      <c r="AY63" s="53">
        <f t="shared" ca="1" si="21"/>
        <v>-32296.285714285739</v>
      </c>
      <c r="AZ63" s="53">
        <f t="shared" ca="1" si="21"/>
        <v>-28896.571428571449</v>
      </c>
      <c r="BA63" s="53">
        <f t="shared" ca="1" si="21"/>
        <v>8033.2857142857101</v>
      </c>
      <c r="BB63" s="53">
        <f t="shared" ca="1" si="21"/>
        <v>21562.857142857159</v>
      </c>
      <c r="BC63" s="53">
        <f t="shared" ca="1" si="21"/>
        <v>64362.78571428571</v>
      </c>
      <c r="BD63" s="53">
        <f t="shared" ca="1" si="21"/>
        <v>166046.71428571429</v>
      </c>
      <c r="BE63" s="53">
        <f t="shared" ca="1" si="21"/>
        <v>241460.57142857142</v>
      </c>
      <c r="BF63" s="53">
        <f t="shared" ca="1" si="21"/>
        <v>189565.85714285716</v>
      </c>
      <c r="BG63" s="53">
        <f t="shared" ca="1" si="21"/>
        <v>661435.92857142864</v>
      </c>
    </row>
    <row r="64" spans="2:59" ht="15" customHeight="1" x14ac:dyDescent="0.3">
      <c r="B64" s="7" t="s">
        <v>71</v>
      </c>
      <c r="C64" s="25">
        <f t="shared" ref="C64:AH64" ca="1" si="22">-C55</f>
        <v>-9625</v>
      </c>
      <c r="D64" s="25">
        <f t="shared" ca="1" si="22"/>
        <v>0</v>
      </c>
      <c r="E64" s="25">
        <f t="shared" ca="1" si="22"/>
        <v>0</v>
      </c>
      <c r="F64" s="25">
        <f t="shared" ca="1" si="22"/>
        <v>0</v>
      </c>
      <c r="G64" s="25">
        <f t="shared" ca="1" si="22"/>
        <v>0</v>
      </c>
      <c r="H64" s="25">
        <f t="shared" ca="1" si="22"/>
        <v>-9502.3399588606189</v>
      </c>
      <c r="I64" s="25">
        <f t="shared" ca="1" si="22"/>
        <v>0</v>
      </c>
      <c r="J64" s="25">
        <f t="shared" ca="1" si="22"/>
        <v>0</v>
      </c>
      <c r="K64" s="25">
        <f t="shared" ca="1" si="22"/>
        <v>0</v>
      </c>
      <c r="L64" s="25">
        <f t="shared" ca="1" si="22"/>
        <v>-9378.6066423612701</v>
      </c>
      <c r="M64" s="25">
        <f t="shared" ca="1" si="22"/>
        <v>0</v>
      </c>
      <c r="N64" s="25">
        <f t="shared" ca="1" si="22"/>
        <v>0</v>
      </c>
      <c r="O64" s="25">
        <f t="shared" ca="1" si="22"/>
        <v>0</v>
      </c>
      <c r="P64" s="25">
        <f t="shared" ca="1" si="22"/>
        <v>-10128.790659342549</v>
      </c>
      <c r="Q64" s="25">
        <f t="shared" ca="1" si="22"/>
        <v>0</v>
      </c>
      <c r="R64" s="25">
        <f t="shared" ca="1" si="22"/>
        <v>0</v>
      </c>
      <c r="S64" s="25">
        <f t="shared" ca="1" si="22"/>
        <v>0</v>
      </c>
      <c r="T64" s="25">
        <f t="shared" ca="1" si="22"/>
        <v>0</v>
      </c>
      <c r="U64" s="25">
        <f t="shared" ca="1" si="22"/>
        <v>-9991.7316236415645</v>
      </c>
      <c r="V64" s="25">
        <f t="shared" ca="1" si="22"/>
        <v>0</v>
      </c>
      <c r="W64" s="25">
        <f t="shared" ca="1" si="22"/>
        <v>0</v>
      </c>
      <c r="X64" s="25">
        <f t="shared" ca="1" si="22"/>
        <v>0</v>
      </c>
      <c r="Y64" s="25">
        <f t="shared" ca="1" si="22"/>
        <v>-9853.4733213781965</v>
      </c>
      <c r="Z64" s="25">
        <f t="shared" ca="1" si="22"/>
        <v>0</v>
      </c>
      <c r="AA64" s="25">
        <f t="shared" ca="1" si="22"/>
        <v>0</v>
      </c>
      <c r="AB64" s="25">
        <f t="shared" ca="1" si="22"/>
        <v>0</v>
      </c>
      <c r="AC64" s="25">
        <f t="shared" ca="1" si="22"/>
        <v>0</v>
      </c>
      <c r="AD64" s="25">
        <f t="shared" ca="1" si="22"/>
        <v>-9714.0052589700208</v>
      </c>
      <c r="AE64" s="25">
        <f t="shared" ca="1" si="22"/>
        <v>0</v>
      </c>
      <c r="AF64" s="25">
        <f t="shared" ca="1" si="22"/>
        <v>0</v>
      </c>
      <c r="AG64" s="25">
        <f t="shared" ca="1" si="22"/>
        <v>0</v>
      </c>
      <c r="AH64" s="25">
        <f t="shared" ca="1" si="22"/>
        <v>-9573.3168510157757</v>
      </c>
      <c r="AI64" s="25">
        <f t="shared" ref="AI64:BB64" ca="1" si="23">-AI55</f>
        <v>0</v>
      </c>
      <c r="AJ64" s="25">
        <f t="shared" ca="1" si="23"/>
        <v>0</v>
      </c>
      <c r="AK64" s="25">
        <f t="shared" ca="1" si="23"/>
        <v>0</v>
      </c>
      <c r="AL64" s="25">
        <f t="shared" ca="1" si="23"/>
        <v>-9431.3974194919301</v>
      </c>
      <c r="AM64" s="25">
        <f t="shared" ca="1" si="23"/>
        <v>0</v>
      </c>
      <c r="AN64" s="25">
        <f t="shared" ca="1" si="23"/>
        <v>0</v>
      </c>
      <c r="AO64" s="25">
        <f t="shared" ca="1" si="23"/>
        <v>0</v>
      </c>
      <c r="AP64" s="25">
        <f t="shared" ca="1" si="23"/>
        <v>0</v>
      </c>
      <c r="AQ64" s="25">
        <f t="shared" ca="1" si="23"/>
        <v>-9288.2361929422514</v>
      </c>
      <c r="AR64" s="25">
        <f t="shared" ca="1" si="23"/>
        <v>0</v>
      </c>
      <c r="AS64" s="25">
        <f t="shared" ca="1" si="23"/>
        <v>0</v>
      </c>
      <c r="AT64" s="25">
        <f t="shared" ca="1" si="23"/>
        <v>0</v>
      </c>
      <c r="AU64" s="25">
        <f t="shared" ca="1" si="23"/>
        <v>-9143.8223056602637</v>
      </c>
      <c r="AV64" s="25">
        <f t="shared" ca="1" si="23"/>
        <v>0</v>
      </c>
      <c r="AW64" s="25">
        <f t="shared" ca="1" si="23"/>
        <v>0</v>
      </c>
      <c r="AX64" s="25">
        <f t="shared" ca="1" si="23"/>
        <v>0</v>
      </c>
      <c r="AY64" s="25">
        <f t="shared" ca="1" si="23"/>
        <v>-8998.1447968645571</v>
      </c>
      <c r="AZ64" s="25">
        <f t="shared" ca="1" si="23"/>
        <v>0</v>
      </c>
      <c r="BA64" s="25">
        <f t="shared" ca="1" si="23"/>
        <v>0</v>
      </c>
      <c r="BB64" s="25">
        <f t="shared" ca="1" si="23"/>
        <v>0</v>
      </c>
      <c r="BC64" s="25">
        <f ca="1">SUM(OFFSET($B64,0,1,1,Assumptions!$B$7))</f>
        <v>-28505.946601221891</v>
      </c>
      <c r="BD64" s="25">
        <f ca="1">SUM(OFFSET($B64,0,1+Assumptions!$B$7,1,SUM(Assumptions!$B$8)))</f>
        <v>-29973.99560436231</v>
      </c>
      <c r="BE64" s="25">
        <f ca="1">SUM(OFFSET($B64,0,1+SUM(Assumptions!$B$7:$B$8),1,SUM(Assumptions!$B$9)))</f>
        <v>-28718.719529477727</v>
      </c>
      <c r="BF64" s="25">
        <f ca="1">SUM(OFFSET($B64,0,1+SUM(Assumptions!$B$7:$B$9),1,SUM(Assumptions!$B$10)))</f>
        <v>-27430.203295467072</v>
      </c>
      <c r="BG64" s="25">
        <f ca="1">SUM(BC64:BF64)</f>
        <v>-114628.86503052901</v>
      </c>
    </row>
    <row r="65" spans="1:59" ht="15" customHeight="1" x14ac:dyDescent="0.3">
      <c r="B65" s="7" t="s">
        <v>72</v>
      </c>
      <c r="C65" s="25">
        <f ca="1">OFFSET(BS!$B$18,0,COLUMN(C$52)-COLUMN($B$52)+1,1,1)-OFFSET(BS!$B$18,0,COLUMN(C$52)-COLUMN($B$52),1,1)-C56</f>
        <v>0</v>
      </c>
      <c r="D65" s="25">
        <f ca="1">OFFSET(BS!$B$18,0,COLUMN(D$52)-COLUMN($B$52)+1,1,1)-OFFSET(BS!$B$18,0,COLUMN(D$52)-COLUMN($B$52),1,1)-D56</f>
        <v>0</v>
      </c>
      <c r="E65" s="25">
        <f ca="1">OFFSET(BS!$B$18,0,COLUMN(E$52)-COLUMN($B$52)+1,1,1)-OFFSET(BS!$B$18,0,COLUMN(E$52)-COLUMN($B$52),1,1)-E56</f>
        <v>0</v>
      </c>
      <c r="F65" s="25">
        <f ca="1">OFFSET(BS!$B$18,0,COLUMN(F$52)-COLUMN($B$52)+1,1,1)-OFFSET(BS!$B$18,0,COLUMN(F$52)-COLUMN($B$52),1,1)-F56</f>
        <v>0</v>
      </c>
      <c r="G65" s="25">
        <f ca="1">OFFSET(BS!$B$18,0,COLUMN(G$52)-COLUMN($B$52)+1,1,1)-OFFSET(BS!$B$18,0,COLUMN(G$52)-COLUMN($B$52),1,1)-G56</f>
        <v>0</v>
      </c>
      <c r="H65" s="25">
        <f ca="1">OFFSET(BS!$B$18,0,COLUMN(H$52)-COLUMN($B$52)+1,1,1)-OFFSET(BS!$B$18,0,COLUMN(H$52)-COLUMN($B$52),1,1)-H56</f>
        <v>0</v>
      </c>
      <c r="I65" s="25">
        <f ca="1">OFFSET(BS!$B$18,0,COLUMN(I$52)-COLUMN($B$52)+1,1,1)-OFFSET(BS!$B$18,0,COLUMN(I$52)-COLUMN($B$52),1,1)-I56</f>
        <v>0</v>
      </c>
      <c r="J65" s="25">
        <f ca="1">OFFSET(BS!$B$18,0,COLUMN(J$52)-COLUMN($B$52)+1,1,1)-OFFSET(BS!$B$18,0,COLUMN(J$52)-COLUMN($B$52),1,1)-J56</f>
        <v>0</v>
      </c>
      <c r="K65" s="25">
        <f ca="1">OFFSET(BS!$B$18,0,COLUMN(K$52)-COLUMN($B$52)+1,1,1)-OFFSET(BS!$B$18,0,COLUMN(K$52)-COLUMN($B$52),1,1)-K56</f>
        <v>0</v>
      </c>
      <c r="L65" s="25">
        <f ca="1">OFFSET(BS!$B$18,0,COLUMN(L$52)-COLUMN($B$52)+1,1,1)-OFFSET(BS!$B$18,0,COLUMN(L$52)-COLUMN($B$52),1,1)-L56</f>
        <v>0</v>
      </c>
      <c r="M65" s="25">
        <f ca="1">OFFSET(BS!$B$18,0,COLUMN(M$52)-COLUMN($B$52)+1,1,1)-OFFSET(BS!$B$18,0,COLUMN(M$52)-COLUMN($B$52),1,1)-M56</f>
        <v>0</v>
      </c>
      <c r="N65" s="25">
        <f ca="1">OFFSET(BS!$B$18,0,COLUMN(N$52)-COLUMN($B$52)+1,1,1)-OFFSET(BS!$B$18,0,COLUMN(N$52)-COLUMN($B$52),1,1)-N56</f>
        <v>0</v>
      </c>
      <c r="O65" s="25">
        <f ca="1">OFFSET(BS!$B$18,0,COLUMN(O$52)-COLUMN($B$52)+1,1,1)-OFFSET(BS!$B$18,0,COLUMN(O$52)-COLUMN($B$52),1,1)-O56</f>
        <v>0</v>
      </c>
      <c r="P65" s="25">
        <f ca="1">OFFSET(BS!$B$18,0,COLUMN(P$52)-COLUMN($B$52)+1,1,1)-OFFSET(BS!$B$18,0,COLUMN(P$52)-COLUMN($B$52),1,1)-P56</f>
        <v>0</v>
      </c>
      <c r="Q65" s="25">
        <f ca="1">OFFSET(BS!$B$18,0,COLUMN(Q$52)-COLUMN($B$52)+1,1,1)-OFFSET(BS!$B$18,0,COLUMN(Q$52)-COLUMN($B$52),1,1)-Q56</f>
        <v>0</v>
      </c>
      <c r="R65" s="25">
        <f ca="1">OFFSET(BS!$B$18,0,COLUMN(R$52)-COLUMN($B$52)+1,1,1)-OFFSET(BS!$B$18,0,COLUMN(R$52)-COLUMN($B$52),1,1)-R56</f>
        <v>0</v>
      </c>
      <c r="S65" s="25">
        <f ca="1">OFFSET(BS!$B$18,0,COLUMN(S$52)-COLUMN($B$52)+1,1,1)-OFFSET(BS!$B$18,0,COLUMN(S$52)-COLUMN($B$52),1,1)-S56</f>
        <v>0</v>
      </c>
      <c r="T65" s="25">
        <f ca="1">OFFSET(BS!$B$18,0,COLUMN(T$52)-COLUMN($B$52)+1,1,1)-OFFSET(BS!$B$18,0,COLUMN(T$52)-COLUMN($B$52),1,1)-T56</f>
        <v>0</v>
      </c>
      <c r="U65" s="25">
        <f ca="1">OFFSET(BS!$B$18,0,COLUMN(U$52)-COLUMN($B$52)+1,1,1)-OFFSET(BS!$B$18,0,COLUMN(U$52)-COLUMN($B$52),1,1)-U56</f>
        <v>0</v>
      </c>
      <c r="V65" s="25">
        <f ca="1">OFFSET(BS!$B$18,0,COLUMN(V$52)-COLUMN($B$52)+1,1,1)-OFFSET(BS!$B$18,0,COLUMN(V$52)-COLUMN($B$52),1,1)-V56</f>
        <v>0</v>
      </c>
      <c r="W65" s="25">
        <f ca="1">OFFSET(BS!$B$18,0,COLUMN(W$52)-COLUMN($B$52)+1,1,1)-OFFSET(BS!$B$18,0,COLUMN(W$52)-COLUMN($B$52),1,1)-W56</f>
        <v>0</v>
      </c>
      <c r="X65" s="25">
        <f ca="1">OFFSET(BS!$B$18,0,COLUMN(X$52)-COLUMN($B$52)+1,1,1)-OFFSET(BS!$B$18,0,COLUMN(X$52)-COLUMN($B$52),1,1)-X56</f>
        <v>0</v>
      </c>
      <c r="Y65" s="25">
        <f ca="1">OFFSET(BS!$B$18,0,COLUMN(Y$52)-COLUMN($B$52)+1,1,1)-OFFSET(BS!$B$18,0,COLUMN(Y$52)-COLUMN($B$52),1,1)-Y56</f>
        <v>0</v>
      </c>
      <c r="Z65" s="25">
        <f ca="1">OFFSET(BS!$B$18,0,COLUMN(Z$52)-COLUMN($B$52)+1,1,1)-OFFSET(BS!$B$18,0,COLUMN(Z$52)-COLUMN($B$52),1,1)-Z56</f>
        <v>0</v>
      </c>
      <c r="AA65" s="25">
        <f ca="1">OFFSET(BS!$B$18,0,COLUMN(AA$52)-COLUMN($B$52)+1,1,1)-OFFSET(BS!$B$18,0,COLUMN(AA$52)-COLUMN($B$52),1,1)-AA56</f>
        <v>0</v>
      </c>
      <c r="AB65" s="25">
        <f ca="1">OFFSET(BS!$B$18,0,COLUMN(AB$52)-COLUMN($B$52)+1,1,1)-OFFSET(BS!$B$18,0,COLUMN(AB$52)-COLUMN($B$52),1,1)-AB56</f>
        <v>-62421.396182436431</v>
      </c>
      <c r="AC65" s="25">
        <f ca="1">OFFSET(BS!$B$18,0,COLUMN(AC$52)-COLUMN($B$52)+1,1,1)-OFFSET(BS!$B$18,0,COLUMN(AC$52)-COLUMN($B$52),1,1)-AC56</f>
        <v>0</v>
      </c>
      <c r="AD65" s="25">
        <f ca="1">OFFSET(BS!$B$18,0,COLUMN(AD$52)-COLUMN($B$52)+1,1,1)-OFFSET(BS!$B$18,0,COLUMN(AD$52)-COLUMN($B$52),1,1)-AD56</f>
        <v>0</v>
      </c>
      <c r="AE65" s="25">
        <f ca="1">OFFSET(BS!$B$18,0,COLUMN(AE$52)-COLUMN($B$52)+1,1,1)-OFFSET(BS!$B$18,0,COLUMN(AE$52)-COLUMN($B$52),1,1)-AE56</f>
        <v>0</v>
      </c>
      <c r="AF65" s="25">
        <f ca="1">OFFSET(BS!$B$18,0,COLUMN(AF$52)-COLUMN($B$52)+1,1,1)-OFFSET(BS!$B$18,0,COLUMN(AF$52)-COLUMN($B$52),1,1)-AF56</f>
        <v>0</v>
      </c>
      <c r="AG65" s="25">
        <f ca="1">OFFSET(BS!$B$18,0,COLUMN(AG$52)-COLUMN($B$52)+1,1,1)-OFFSET(BS!$B$18,0,COLUMN(AG$52)-COLUMN($B$52),1,1)-AG56</f>
        <v>0</v>
      </c>
      <c r="AH65" s="25">
        <f ca="1">OFFSET(BS!$B$18,0,COLUMN(AH$52)-COLUMN($B$52)+1,1,1)-OFFSET(BS!$B$18,0,COLUMN(AH$52)-COLUMN($B$52),1,1)-AH56</f>
        <v>0</v>
      </c>
      <c r="AI65" s="25">
        <f ca="1">OFFSET(BS!$B$18,0,COLUMN(AI$52)-COLUMN($B$52)+1,1,1)-OFFSET(BS!$B$18,0,COLUMN(AI$52)-COLUMN($B$52),1,1)-AI56</f>
        <v>0</v>
      </c>
      <c r="AJ65" s="25">
        <f ca="1">OFFSET(BS!$B$18,0,COLUMN(AJ$52)-COLUMN($B$52)+1,1,1)-OFFSET(BS!$B$18,0,COLUMN(AJ$52)-COLUMN($B$52),1,1)-AJ56</f>
        <v>0</v>
      </c>
      <c r="AK65" s="25">
        <f ca="1">OFFSET(BS!$B$18,0,COLUMN(AK$52)-COLUMN($B$52)+1,1,1)-OFFSET(BS!$B$18,0,COLUMN(AK$52)-COLUMN($B$52),1,1)-AK56</f>
        <v>0</v>
      </c>
      <c r="AL65" s="25">
        <f ca="1">OFFSET(BS!$B$18,0,COLUMN(AL$52)-COLUMN($B$52)+1,1,1)-OFFSET(BS!$B$18,0,COLUMN(AL$52)-COLUMN($B$52),1,1)-AL56</f>
        <v>0</v>
      </c>
      <c r="AM65" s="25">
        <f ca="1">OFFSET(BS!$B$18,0,COLUMN(AM$52)-COLUMN($B$52)+1,1,1)-OFFSET(BS!$B$18,0,COLUMN(AM$52)-COLUMN($B$52),1,1)-AM56</f>
        <v>0</v>
      </c>
      <c r="AN65" s="25">
        <f ca="1">OFFSET(BS!$B$18,0,COLUMN(AN$52)-COLUMN($B$52)+1,1,1)-OFFSET(BS!$B$18,0,COLUMN(AN$52)-COLUMN($B$52),1,1)-AN56</f>
        <v>0</v>
      </c>
      <c r="AO65" s="25">
        <f ca="1">OFFSET(BS!$B$18,0,COLUMN(AO$52)-COLUMN($B$52)+1,1,1)-OFFSET(BS!$B$18,0,COLUMN(AO$52)-COLUMN($B$52),1,1)-AO56</f>
        <v>0</v>
      </c>
      <c r="AP65" s="25">
        <f ca="1">OFFSET(BS!$B$18,0,COLUMN(AP$52)-COLUMN($B$52)+1,1,1)-OFFSET(BS!$B$18,0,COLUMN(AP$52)-COLUMN($B$52),1,1)-AP56</f>
        <v>0</v>
      </c>
      <c r="AQ65" s="25">
        <f ca="1">OFFSET(BS!$B$18,0,COLUMN(AQ$52)-COLUMN($B$52)+1,1,1)-OFFSET(BS!$B$18,0,COLUMN(AQ$52)-COLUMN($B$52),1,1)-AQ56</f>
        <v>0</v>
      </c>
      <c r="AR65" s="25">
        <f ca="1">OFFSET(BS!$B$18,0,COLUMN(AR$52)-COLUMN($B$52)+1,1,1)-OFFSET(BS!$B$18,0,COLUMN(AR$52)-COLUMN($B$52),1,1)-AR56</f>
        <v>0</v>
      </c>
      <c r="AS65" s="25">
        <f ca="1">OFFSET(BS!$B$18,0,COLUMN(AS$52)-COLUMN($B$52)+1,1,1)-OFFSET(BS!$B$18,0,COLUMN(AS$52)-COLUMN($B$52),1,1)-AS56</f>
        <v>7.2759576141834259E-12</v>
      </c>
      <c r="AT65" s="25">
        <f ca="1">OFFSET(BS!$B$18,0,COLUMN(AT$52)-COLUMN($B$52)+1,1,1)-OFFSET(BS!$B$18,0,COLUMN(AT$52)-COLUMN($B$52),1,1)-AT56</f>
        <v>0</v>
      </c>
      <c r="AU65" s="25">
        <f ca="1">OFFSET(BS!$B$18,0,COLUMN(AU$52)-COLUMN($B$52)+1,1,1)-OFFSET(BS!$B$18,0,COLUMN(AU$52)-COLUMN($B$52),1,1)-AU56</f>
        <v>0</v>
      </c>
      <c r="AV65" s="25">
        <f ca="1">OFFSET(BS!$B$18,0,COLUMN(AV$52)-COLUMN($B$52)+1,1,1)-OFFSET(BS!$B$18,0,COLUMN(AV$52)-COLUMN($B$52),1,1)-AV56</f>
        <v>0</v>
      </c>
      <c r="AW65" s="25">
        <f ca="1">OFFSET(BS!$B$18,0,COLUMN(AW$52)-COLUMN($B$52)+1,1,1)-OFFSET(BS!$B$18,0,COLUMN(AW$52)-COLUMN($B$52),1,1)-AW56</f>
        <v>0</v>
      </c>
      <c r="AX65" s="25">
        <f ca="1">OFFSET(BS!$B$18,0,COLUMN(AX$52)-COLUMN($B$52)+1,1,1)-OFFSET(BS!$B$18,0,COLUMN(AX$52)-COLUMN($B$52),1,1)-AX56</f>
        <v>0</v>
      </c>
      <c r="AY65" s="25">
        <f ca="1">OFFSET(BS!$B$18,0,COLUMN(AY$52)-COLUMN($B$52)+1,1,1)-OFFSET(BS!$B$18,0,COLUMN(AY$52)-COLUMN($B$52),1,1)-AY56</f>
        <v>0</v>
      </c>
      <c r="AZ65" s="25">
        <f ca="1">OFFSET(BS!$B$18,0,COLUMN(AZ$52)-COLUMN($B$52)+1,1,1)-OFFSET(BS!$B$18,0,COLUMN(AZ$52)-COLUMN($B$52),1,1)-AZ56</f>
        <v>0</v>
      </c>
      <c r="BA65" s="25">
        <f ca="1">OFFSET(BS!$B$18,0,COLUMN(BA$52)-COLUMN($B$52)+1,1,1)-OFFSET(BS!$B$18,0,COLUMN(BA$52)-COLUMN($B$52),1,1)-BA56</f>
        <v>0</v>
      </c>
      <c r="BB65" s="25">
        <f ca="1">OFFSET(BS!$B$18,0,COLUMN(BB$52)-COLUMN($B$52)+1,1,1)-OFFSET(BS!$B$18,0,COLUMN(BB$52)-COLUMN($B$52),1,1)-BB56</f>
        <v>-83077.141609015482</v>
      </c>
      <c r="BC65" s="25">
        <f ca="1">SUM(OFFSET($B65,0,1,1,Assumptions!$B$7))</f>
        <v>0</v>
      </c>
      <c r="BD65" s="25">
        <f ca="1">SUM(OFFSET($B65,0,1+Assumptions!$B$7,1,SUM(Assumptions!$B$8)))</f>
        <v>-62421.396182436431</v>
      </c>
      <c r="BE65" s="25">
        <f ca="1">SUM(OFFSET($B65,0,1+SUM(Assumptions!$B$7:$B$8),1,SUM(Assumptions!$B$9)))</f>
        <v>0</v>
      </c>
      <c r="BF65" s="25">
        <f ca="1">SUM(OFFSET($B65,0,1+SUM(Assumptions!$B$7:$B$9),1,SUM(Assumptions!$B$10)))</f>
        <v>-83077.141609015467</v>
      </c>
      <c r="BG65" s="25">
        <f ca="1">SUM(BC65:BF65)</f>
        <v>-145498.5377914519</v>
      </c>
    </row>
    <row r="66" spans="1:59" ht="15" customHeight="1" x14ac:dyDescent="0.35">
      <c r="B66" s="6" t="s">
        <v>73</v>
      </c>
      <c r="C66" s="54">
        <f t="shared" ref="C66:AH66" ca="1" si="24">SUM(C63:C65)</f>
        <v>-72675</v>
      </c>
      <c r="D66" s="54">
        <f t="shared" ca="1" si="24"/>
        <v>31507.285714285725</v>
      </c>
      <c r="E66" s="54">
        <f t="shared" ca="1" si="24"/>
        <v>-9488.23809523815</v>
      </c>
      <c r="F66" s="54">
        <f t="shared" ca="1" si="24"/>
        <v>17155.809523809534</v>
      </c>
      <c r="G66" s="54">
        <f t="shared" ca="1" si="24"/>
        <v>8862.0000000000146</v>
      </c>
      <c r="H66" s="54">
        <f t="shared" ca="1" si="24"/>
        <v>-3981.5542445749088</v>
      </c>
      <c r="I66" s="54">
        <f t="shared" ca="1" si="24"/>
        <v>14535.357142857159</v>
      </c>
      <c r="J66" s="54">
        <f t="shared" ca="1" si="24"/>
        <v>10646.071428571449</v>
      </c>
      <c r="K66" s="54">
        <f t="shared" ca="1" si="24"/>
        <v>18032.85714285713</v>
      </c>
      <c r="L66" s="54">
        <f t="shared" ca="1" si="24"/>
        <v>4572.8219290673096</v>
      </c>
      <c r="M66" s="54">
        <f t="shared" ca="1" si="24"/>
        <v>781.42857142855064</v>
      </c>
      <c r="N66" s="54">
        <f t="shared" ca="1" si="24"/>
        <v>1327.8571428571449</v>
      </c>
      <c r="O66" s="54">
        <f t="shared" ca="1" si="24"/>
        <v>14580.142857142855</v>
      </c>
      <c r="P66" s="54">
        <f t="shared" ca="1" si="24"/>
        <v>6656.3521978003209</v>
      </c>
      <c r="Q66" s="54">
        <f t="shared" ca="1" si="24"/>
        <v>1208.5714285714203</v>
      </c>
      <c r="R66" s="54">
        <f t="shared" ca="1" si="24"/>
        <v>6906.7857142857247</v>
      </c>
      <c r="S66" s="54">
        <f t="shared" ca="1" si="24"/>
        <v>15241.071428571406</v>
      </c>
      <c r="T66" s="54">
        <f t="shared" ca="1" si="24"/>
        <v>24237.14285714287</v>
      </c>
      <c r="U66" s="54">
        <f t="shared" ca="1" si="24"/>
        <v>-1958.5173379272746</v>
      </c>
      <c r="V66" s="54">
        <f t="shared" ca="1" si="24"/>
        <v>9917.8571428571304</v>
      </c>
      <c r="W66" s="54">
        <f t="shared" ca="1" si="24"/>
        <v>17440.428571428551</v>
      </c>
      <c r="X66" s="54">
        <f t="shared" ca="1" si="24"/>
        <v>26982.571428571478</v>
      </c>
      <c r="Y66" s="54">
        <f t="shared" ca="1" si="24"/>
        <v>13714.383821478934</v>
      </c>
      <c r="Z66" s="54">
        <f t="shared" ca="1" si="24"/>
        <v>1795.7142857142608</v>
      </c>
      <c r="AA66" s="54">
        <f t="shared" ca="1" si="24"/>
        <v>3790.0000000000291</v>
      </c>
      <c r="AB66" s="54">
        <f t="shared" ca="1" si="24"/>
        <v>-52281.0390395793</v>
      </c>
      <c r="AC66" s="54">
        <f t="shared" ca="1" si="24"/>
        <v>21555</v>
      </c>
      <c r="AD66" s="54">
        <f t="shared" ca="1" si="24"/>
        <v>772.42331245855894</v>
      </c>
      <c r="AE66" s="54">
        <f t="shared" ca="1" si="24"/>
        <v>14674.28571428571</v>
      </c>
      <c r="AF66" s="54">
        <f t="shared" ca="1" si="24"/>
        <v>25604.285714285681</v>
      </c>
      <c r="AG66" s="54">
        <f t="shared" ca="1" si="24"/>
        <v>26042.857142857189</v>
      </c>
      <c r="AH66" s="54">
        <f t="shared" ca="1" si="24"/>
        <v>22944.683148984222</v>
      </c>
      <c r="AI66" s="54">
        <f t="shared" ref="AI66:BG66" ca="1" si="25">SUM(AI63:AI65)</f>
        <v>18455.142857142841</v>
      </c>
      <c r="AJ66" s="54">
        <f t="shared" ca="1" si="25"/>
        <v>2780.7142857142899</v>
      </c>
      <c r="AK66" s="54">
        <f t="shared" ca="1" si="25"/>
        <v>22716.57142857142</v>
      </c>
      <c r="AL66" s="54">
        <f t="shared" ca="1" si="25"/>
        <v>-2790.5402766347997</v>
      </c>
      <c r="AM66" s="54">
        <f t="shared" ca="1" si="25"/>
        <v>15812.85714285713</v>
      </c>
      <c r="AN66" s="54">
        <f t="shared" ca="1" si="25"/>
        <v>19073.571428571478</v>
      </c>
      <c r="AO66" s="54">
        <f t="shared" ca="1" si="25"/>
        <v>25099.999999999971</v>
      </c>
      <c r="AP66" s="54">
        <f t="shared" ca="1" si="25"/>
        <v>32730</v>
      </c>
      <c r="AQ66" s="54">
        <f t="shared" ca="1" si="25"/>
        <v>12337.478092772039</v>
      </c>
      <c r="AR66" s="54">
        <f t="shared" ca="1" si="25"/>
        <v>40443.57142857142</v>
      </c>
      <c r="AS66" s="54">
        <f t="shared" ca="1" si="25"/>
        <v>52760.000000000036</v>
      </c>
      <c r="AT66" s="54">
        <f t="shared" ca="1" si="25"/>
        <v>34476.571428571406</v>
      </c>
      <c r="AU66" s="54">
        <f t="shared" ca="1" si="25"/>
        <v>29043.320551482575</v>
      </c>
      <c r="AV66" s="54">
        <f t="shared" ca="1" si="25"/>
        <v>30647.428571428594</v>
      </c>
      <c r="AW66" s="54">
        <f t="shared" ca="1" si="25"/>
        <v>-9041.0000000000146</v>
      </c>
      <c r="AX66" s="54">
        <f t="shared" ca="1" si="25"/>
        <v>-20666.857142857087</v>
      </c>
      <c r="AY66" s="54">
        <f t="shared" ca="1" si="25"/>
        <v>-41294.430511150298</v>
      </c>
      <c r="AZ66" s="54">
        <f t="shared" ca="1" si="25"/>
        <v>-28896.571428571449</v>
      </c>
      <c r="BA66" s="54">
        <f t="shared" ca="1" si="25"/>
        <v>8033.2857142857101</v>
      </c>
      <c r="BB66" s="54">
        <f t="shared" ca="1" si="25"/>
        <v>-61514.284466158322</v>
      </c>
      <c r="BC66" s="54">
        <f t="shared" ca="1" si="25"/>
        <v>35856.839113063819</v>
      </c>
      <c r="BD66" s="54">
        <f t="shared" ca="1" si="25"/>
        <v>73651.322498915542</v>
      </c>
      <c r="BE66" s="54">
        <f t="shared" ca="1" si="25"/>
        <v>212741.85189909369</v>
      </c>
      <c r="BF66" s="54">
        <f t="shared" ca="1" si="25"/>
        <v>79058.51223837462</v>
      </c>
      <c r="BG66" s="54">
        <f t="shared" ca="1" si="25"/>
        <v>401308.52574944776</v>
      </c>
    </row>
    <row r="67" spans="1:59" ht="15" customHeight="1" x14ac:dyDescent="0.3">
      <c r="B67" s="24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</row>
    <row r="68" spans="1:59" ht="15" customHeight="1" x14ac:dyDescent="0.35">
      <c r="B68" s="2" t="s">
        <v>74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</row>
    <row r="69" spans="1:59" ht="15" customHeight="1" x14ac:dyDescent="0.35">
      <c r="A69" s="20"/>
      <c r="B69" s="24" t="s">
        <v>75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-100000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-60000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-48000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-24000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f ca="1">SUM(OFFSET($B69,0,1,1,Assumptions!$B$7))</f>
        <v>-100000</v>
      </c>
      <c r="BD69" s="25">
        <f ca="1">SUM(OFFSET($B69,0,1+Assumptions!$B$7,1,SUM(Assumptions!$B$8)))</f>
        <v>-60000</v>
      </c>
      <c r="BE69" s="25">
        <f ca="1">SUM(OFFSET($B69,0,1+SUM(Assumptions!$B$7:$B$8),1,SUM(Assumptions!$B$9)))</f>
        <v>-48000</v>
      </c>
      <c r="BF69" s="25">
        <f ca="1">SUM(OFFSET($B69,0,1+SUM(Assumptions!$B$7:$B$9),1,SUM(Assumptions!$B$10)))</f>
        <v>-24000</v>
      </c>
      <c r="BG69" s="25">
        <f ca="1">SUM(BC69:BF69)</f>
        <v>-232000</v>
      </c>
    </row>
    <row r="70" spans="1:59" ht="15" customHeight="1" x14ac:dyDescent="0.35">
      <c r="B70" s="6" t="s">
        <v>76</v>
      </c>
      <c r="C70" s="54">
        <f t="shared" ref="C70:AH70" si="26">SUM(C69)</f>
        <v>0</v>
      </c>
      <c r="D70" s="54">
        <f t="shared" si="26"/>
        <v>0</v>
      </c>
      <c r="E70" s="54">
        <f t="shared" si="26"/>
        <v>0</v>
      </c>
      <c r="F70" s="54">
        <f t="shared" si="26"/>
        <v>0</v>
      </c>
      <c r="G70" s="54">
        <f t="shared" si="26"/>
        <v>0</v>
      </c>
      <c r="H70" s="54">
        <f t="shared" si="26"/>
        <v>0</v>
      </c>
      <c r="I70" s="54">
        <f t="shared" si="26"/>
        <v>0</v>
      </c>
      <c r="J70" s="54">
        <f t="shared" si="26"/>
        <v>0</v>
      </c>
      <c r="K70" s="54">
        <f t="shared" si="26"/>
        <v>0</v>
      </c>
      <c r="L70" s="54">
        <f t="shared" si="26"/>
        <v>0</v>
      </c>
      <c r="M70" s="54">
        <f t="shared" si="26"/>
        <v>0</v>
      </c>
      <c r="N70" s="54">
        <f t="shared" si="26"/>
        <v>0</v>
      </c>
      <c r="O70" s="54">
        <f t="shared" si="26"/>
        <v>-100000</v>
      </c>
      <c r="P70" s="54">
        <f t="shared" si="26"/>
        <v>0</v>
      </c>
      <c r="Q70" s="54">
        <f t="shared" si="26"/>
        <v>0</v>
      </c>
      <c r="R70" s="54">
        <f t="shared" si="26"/>
        <v>0</v>
      </c>
      <c r="S70" s="54">
        <f t="shared" si="26"/>
        <v>0</v>
      </c>
      <c r="T70" s="54">
        <f t="shared" si="26"/>
        <v>0</v>
      </c>
      <c r="U70" s="54">
        <f t="shared" si="26"/>
        <v>0</v>
      </c>
      <c r="V70" s="54">
        <f t="shared" si="26"/>
        <v>0</v>
      </c>
      <c r="W70" s="54">
        <f t="shared" si="26"/>
        <v>0</v>
      </c>
      <c r="X70" s="54">
        <f t="shared" si="26"/>
        <v>0</v>
      </c>
      <c r="Y70" s="54">
        <f t="shared" si="26"/>
        <v>-60000</v>
      </c>
      <c r="Z70" s="54">
        <f t="shared" si="26"/>
        <v>0</v>
      </c>
      <c r="AA70" s="54">
        <f t="shared" si="26"/>
        <v>0</v>
      </c>
      <c r="AB70" s="54">
        <f t="shared" si="26"/>
        <v>0</v>
      </c>
      <c r="AC70" s="54">
        <f t="shared" si="26"/>
        <v>0</v>
      </c>
      <c r="AD70" s="54">
        <f t="shared" si="26"/>
        <v>0</v>
      </c>
      <c r="AE70" s="54">
        <f t="shared" si="26"/>
        <v>-48000</v>
      </c>
      <c r="AF70" s="54">
        <f t="shared" si="26"/>
        <v>0</v>
      </c>
      <c r="AG70" s="54">
        <f t="shared" si="26"/>
        <v>0</v>
      </c>
      <c r="AH70" s="54">
        <f t="shared" si="26"/>
        <v>0</v>
      </c>
      <c r="AI70" s="54">
        <f t="shared" ref="AI70:BG70" si="27">SUM(AI69)</f>
        <v>0</v>
      </c>
      <c r="AJ70" s="54">
        <f t="shared" si="27"/>
        <v>0</v>
      </c>
      <c r="AK70" s="54">
        <f t="shared" si="27"/>
        <v>0</v>
      </c>
      <c r="AL70" s="54">
        <f t="shared" si="27"/>
        <v>0</v>
      </c>
      <c r="AM70" s="54">
        <f t="shared" si="27"/>
        <v>0</v>
      </c>
      <c r="AN70" s="54">
        <f t="shared" si="27"/>
        <v>0</v>
      </c>
      <c r="AO70" s="54">
        <f t="shared" si="27"/>
        <v>0</v>
      </c>
      <c r="AP70" s="54">
        <f t="shared" si="27"/>
        <v>0</v>
      </c>
      <c r="AQ70" s="54">
        <f t="shared" si="27"/>
        <v>0</v>
      </c>
      <c r="AR70" s="54">
        <f t="shared" si="27"/>
        <v>0</v>
      </c>
      <c r="AS70" s="54">
        <f t="shared" si="27"/>
        <v>0</v>
      </c>
      <c r="AT70" s="54">
        <f t="shared" si="27"/>
        <v>0</v>
      </c>
      <c r="AU70" s="54">
        <f t="shared" si="27"/>
        <v>0</v>
      </c>
      <c r="AV70" s="54">
        <f t="shared" si="27"/>
        <v>-24000</v>
      </c>
      <c r="AW70" s="54">
        <f t="shared" si="27"/>
        <v>0</v>
      </c>
      <c r="AX70" s="54">
        <f t="shared" si="27"/>
        <v>0</v>
      </c>
      <c r="AY70" s="54">
        <f t="shared" si="27"/>
        <v>0</v>
      </c>
      <c r="AZ70" s="54">
        <f t="shared" si="27"/>
        <v>0</v>
      </c>
      <c r="BA70" s="54">
        <f t="shared" si="27"/>
        <v>0</v>
      </c>
      <c r="BB70" s="54">
        <f t="shared" si="27"/>
        <v>0</v>
      </c>
      <c r="BC70" s="54">
        <f t="shared" ca="1" si="27"/>
        <v>-100000</v>
      </c>
      <c r="BD70" s="54">
        <f t="shared" ca="1" si="27"/>
        <v>-60000</v>
      </c>
      <c r="BE70" s="54">
        <f t="shared" ca="1" si="27"/>
        <v>-48000</v>
      </c>
      <c r="BF70" s="54">
        <f t="shared" ca="1" si="27"/>
        <v>-24000</v>
      </c>
      <c r="BG70" s="54">
        <f t="shared" ca="1" si="27"/>
        <v>-232000</v>
      </c>
    </row>
    <row r="71" spans="1:59" ht="15" customHeight="1" x14ac:dyDescent="0.3"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</row>
    <row r="72" spans="1:59" ht="15" customHeight="1" x14ac:dyDescent="0.35">
      <c r="B72" s="2" t="s">
        <v>77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</row>
    <row r="73" spans="1:59" ht="15" customHeight="1" x14ac:dyDescent="0.35">
      <c r="A73" s="20"/>
      <c r="B73" s="24" t="s">
        <v>78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500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f ca="1">SUM(OFFSET($B73,0,1,1,Assumptions!$B$7))</f>
        <v>0</v>
      </c>
      <c r="BD73" s="25">
        <f ca="1">SUM(OFFSET($B73,0,1+Assumptions!$B$7,1,SUM(Assumptions!$B$8)))</f>
        <v>500</v>
      </c>
      <c r="BE73" s="25">
        <f ca="1">SUM(OFFSET($B73,0,1+SUM(Assumptions!$B$7:$B$8),1,SUM(Assumptions!$B$9)))</f>
        <v>0</v>
      </c>
      <c r="BF73" s="25">
        <f ca="1">SUM(OFFSET($B73,0,1+SUM(Assumptions!$B$7:$B$9),1,SUM(Assumptions!$B$10)))</f>
        <v>0</v>
      </c>
      <c r="BG73" s="25">
        <f ca="1">SUM(BC73:BF73)</f>
        <v>500</v>
      </c>
    </row>
    <row r="74" spans="1:59" ht="15" customHeight="1" x14ac:dyDescent="0.35">
      <c r="A74" s="20"/>
      <c r="B74" s="24" t="s">
        <v>79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100000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f ca="1">SUM(OFFSET($B74,0,1,1,Assumptions!$B$7))</f>
        <v>100000</v>
      </c>
      <c r="BD74" s="25">
        <f ca="1">SUM(OFFSET($B74,0,1+Assumptions!$B$7,1,SUM(Assumptions!$B$8)))</f>
        <v>0</v>
      </c>
      <c r="BE74" s="25">
        <f ca="1">SUM(OFFSET($B74,0,1+SUM(Assumptions!$B$7:$B$8),1,SUM(Assumptions!$B$9)))</f>
        <v>0</v>
      </c>
      <c r="BF74" s="25">
        <f ca="1">SUM(OFFSET($B74,0,1+SUM(Assumptions!$B$7:$B$9),1,SUM(Assumptions!$B$10)))</f>
        <v>0</v>
      </c>
      <c r="BG74" s="25">
        <f ca="1">SUM(BC74:BF74)</f>
        <v>100000</v>
      </c>
    </row>
    <row r="75" spans="1:59" ht="15" customHeight="1" x14ac:dyDescent="0.3">
      <c r="B75" s="24" t="s">
        <v>86</v>
      </c>
      <c r="C75" s="25">
        <f ca="1">-OFFSET(Loans!$G$9,COLUMN(C52)-2,0,1,1)</f>
        <v>-14018.290415929208</v>
      </c>
      <c r="D75" s="25">
        <f ca="1">-OFFSET(Loans!$G$9,COLUMN(D52)-2,0,1,1)</f>
        <v>0</v>
      </c>
      <c r="E75" s="25">
        <f ca="1">-OFFSET(Loans!$G$9,COLUMN(E52)-2,0,1,1)</f>
        <v>0</v>
      </c>
      <c r="F75" s="25">
        <f ca="1">-OFFSET(Loans!$G$9,COLUMN(F52)-2,0,1,1)</f>
        <v>0</v>
      </c>
      <c r="G75" s="25">
        <f ca="1">-OFFSET(Loans!$G$9,COLUMN(G52)-2,0,1,1)</f>
        <v>0</v>
      </c>
      <c r="H75" s="25">
        <f ca="1">-OFFSET(Loans!$G$9,COLUMN(H52)-2,0,1,1)</f>
        <v>-14140.950457068589</v>
      </c>
      <c r="I75" s="25">
        <f ca="1">-OFFSET(Loans!$G$9,COLUMN(I52)-2,0,1,1)</f>
        <v>0</v>
      </c>
      <c r="J75" s="25">
        <f ca="1">-OFFSET(Loans!$G$9,COLUMN(J52)-2,0,1,1)</f>
        <v>0</v>
      </c>
      <c r="K75" s="25">
        <f ca="1">-OFFSET(Loans!$G$9,COLUMN(K52)-2,0,1,1)</f>
        <v>0</v>
      </c>
      <c r="L75" s="25">
        <f ca="1">-OFFSET(Loans!$G$9,COLUMN(L52)-2,0,1,1)</f>
        <v>-14264.683773567938</v>
      </c>
      <c r="M75" s="25">
        <f ca="1">-OFFSET(Loans!$G$9,COLUMN(M52)-2,0,1,1)</f>
        <v>0</v>
      </c>
      <c r="N75" s="25">
        <f ca="1">-OFFSET(Loans!$G$9,COLUMN(N52)-2,0,1,1)</f>
        <v>0</v>
      </c>
      <c r="O75" s="25">
        <f ca="1">-OFFSET(Loans!$G$9,COLUMN(O52)-2,0,1,1)</f>
        <v>0</v>
      </c>
      <c r="P75" s="25">
        <f ca="1">-OFFSET(Loans!$G$9,COLUMN(P52)-2,0,1,1)</f>
        <v>-15663.889794398403</v>
      </c>
      <c r="Q75" s="25">
        <f ca="1">-OFFSET(Loans!$G$9,COLUMN(Q52)-2,0,1,1)</f>
        <v>0</v>
      </c>
      <c r="R75" s="25">
        <f ca="1">-OFFSET(Loans!$G$9,COLUMN(R52)-2,0,1,1)</f>
        <v>0</v>
      </c>
      <c r="S75" s="25">
        <f ca="1">-OFFSET(Loans!$G$9,COLUMN(S52)-2,0,1,1)</f>
        <v>0</v>
      </c>
      <c r="T75" s="25">
        <f ca="1">-OFFSET(Loans!$G$9,COLUMN(T52)-2,0,1,1)</f>
        <v>0</v>
      </c>
      <c r="U75" s="25">
        <f ca="1">-OFFSET(Loans!$G$9,COLUMN(U52)-2,0,1,1)</f>
        <v>-15800.948830099387</v>
      </c>
      <c r="V75" s="25">
        <f ca="1">-OFFSET(Loans!$G$9,COLUMN(V52)-2,0,1,1)</f>
        <v>0</v>
      </c>
      <c r="W75" s="25">
        <f ca="1">-OFFSET(Loans!$G$9,COLUMN(W52)-2,0,1,1)</f>
        <v>0</v>
      </c>
      <c r="X75" s="25">
        <f ca="1">-OFFSET(Loans!$G$9,COLUMN(X52)-2,0,1,1)</f>
        <v>0</v>
      </c>
      <c r="Y75" s="25">
        <f ca="1">-OFFSET(Loans!$G$9,COLUMN(Y52)-2,0,1,1)</f>
        <v>-15939.207132362755</v>
      </c>
      <c r="Z75" s="25">
        <f ca="1">-OFFSET(Loans!$G$9,COLUMN(Z52)-2,0,1,1)</f>
        <v>0</v>
      </c>
      <c r="AA75" s="25">
        <f ca="1">-OFFSET(Loans!$G$9,COLUMN(AA52)-2,0,1,1)</f>
        <v>0</v>
      </c>
      <c r="AB75" s="25">
        <f ca="1">-OFFSET(Loans!$G$9,COLUMN(AB52)-2,0,1,1)</f>
        <v>0</v>
      </c>
      <c r="AC75" s="25">
        <f ca="1">-OFFSET(Loans!$G$9,COLUMN(AC52)-2,0,1,1)</f>
        <v>0</v>
      </c>
      <c r="AD75" s="25">
        <f ca="1">-OFFSET(Loans!$G$9,COLUMN(AD52)-2,0,1,1)</f>
        <v>-16078.675194770931</v>
      </c>
      <c r="AE75" s="25">
        <f ca="1">-OFFSET(Loans!$G$9,COLUMN(AE52)-2,0,1,1)</f>
        <v>0</v>
      </c>
      <c r="AF75" s="25">
        <f ca="1">-OFFSET(Loans!$G$9,COLUMN(AF52)-2,0,1,1)</f>
        <v>0</v>
      </c>
      <c r="AG75" s="25">
        <f ca="1">-OFFSET(Loans!$G$9,COLUMN(AG52)-2,0,1,1)</f>
        <v>0</v>
      </c>
      <c r="AH75" s="25">
        <f ca="1">-OFFSET(Loans!$G$9,COLUMN(AH52)-2,0,1,1)</f>
        <v>-16219.363602725176</v>
      </c>
      <c r="AI75" s="25">
        <f ca="1">-OFFSET(Loans!$G$9,COLUMN(AI52)-2,0,1,1)</f>
        <v>0</v>
      </c>
      <c r="AJ75" s="25">
        <f ca="1">-OFFSET(Loans!$G$9,COLUMN(AJ52)-2,0,1,1)</f>
        <v>0</v>
      </c>
      <c r="AK75" s="25">
        <f ca="1">-OFFSET(Loans!$G$9,COLUMN(AK52)-2,0,1,1)</f>
        <v>0</v>
      </c>
      <c r="AL75" s="25">
        <f ca="1">-OFFSET(Loans!$G$9,COLUMN(AL52)-2,0,1,1)</f>
        <v>-16361.283034249022</v>
      </c>
      <c r="AM75" s="25">
        <f ca="1">-OFFSET(Loans!$G$9,COLUMN(AM52)-2,0,1,1)</f>
        <v>0</v>
      </c>
      <c r="AN75" s="25">
        <f ca="1">-OFFSET(Loans!$G$9,COLUMN(AN52)-2,0,1,1)</f>
        <v>0</v>
      </c>
      <c r="AO75" s="25">
        <f ca="1">-OFFSET(Loans!$G$9,COLUMN(AO52)-2,0,1,1)</f>
        <v>0</v>
      </c>
      <c r="AP75" s="25">
        <f ca="1">-OFFSET(Loans!$G$9,COLUMN(AP52)-2,0,1,1)</f>
        <v>0</v>
      </c>
      <c r="AQ75" s="25">
        <f ca="1">-OFFSET(Loans!$G$9,COLUMN(AQ52)-2,0,1,1)</f>
        <v>-16504.4442607987</v>
      </c>
      <c r="AR75" s="25">
        <f ca="1">-OFFSET(Loans!$G$9,COLUMN(AR52)-2,0,1,1)</f>
        <v>0</v>
      </c>
      <c r="AS75" s="25">
        <f ca="1">-OFFSET(Loans!$G$9,COLUMN(AS52)-2,0,1,1)</f>
        <v>0</v>
      </c>
      <c r="AT75" s="25">
        <f ca="1">-OFFSET(Loans!$G$9,COLUMN(AT52)-2,0,1,1)</f>
        <v>0</v>
      </c>
      <c r="AU75" s="25">
        <f ca="1">-OFFSET(Loans!$G$9,COLUMN(AU52)-2,0,1,1)</f>
        <v>-16648.85814808069</v>
      </c>
      <c r="AV75" s="25">
        <f ca="1">-OFFSET(Loans!$G$9,COLUMN(AV52)-2,0,1,1)</f>
        <v>0</v>
      </c>
      <c r="AW75" s="25">
        <f ca="1">-OFFSET(Loans!$G$9,COLUMN(AW52)-2,0,1,1)</f>
        <v>0</v>
      </c>
      <c r="AX75" s="25">
        <f ca="1">-OFFSET(Loans!$G$9,COLUMN(AX52)-2,0,1,1)</f>
        <v>0</v>
      </c>
      <c r="AY75" s="25">
        <f ca="1">-OFFSET(Loans!$G$9,COLUMN(AY52)-2,0,1,1)</f>
        <v>-16794.535656876396</v>
      </c>
      <c r="AZ75" s="25">
        <f ca="1">-OFFSET(Loans!$G$9,COLUMN(AZ52)-2,0,1,1)</f>
        <v>0</v>
      </c>
      <c r="BA75" s="25">
        <f ca="1">-OFFSET(Loans!$G$9,COLUMN(BA52)-2,0,1,1)</f>
        <v>0</v>
      </c>
      <c r="BB75" s="25">
        <f ca="1">-OFFSET(Loans!$G$9,COLUMN(BB52)-2,0,1,1)</f>
        <v>0</v>
      </c>
      <c r="BC75" s="25">
        <f ca="1">SUM(OFFSET($B75,0,1,1,Assumptions!$B$7))</f>
        <v>-42423.924646565734</v>
      </c>
      <c r="BD75" s="25">
        <f ca="1">SUM(OFFSET($B75,0,1+Assumptions!$B$7,1,SUM(Assumptions!$B$8)))</f>
        <v>-47404.045756860542</v>
      </c>
      <c r="BE75" s="25">
        <f ca="1">SUM(OFFSET($B75,0,1+SUM(Assumptions!$B$7:$B$8),1,SUM(Assumptions!$B$9)))</f>
        <v>-48659.321831745125</v>
      </c>
      <c r="BF75" s="25">
        <f ca="1">SUM(OFFSET($B75,0,1+SUM(Assumptions!$B$7:$B$9),1,SUM(Assumptions!$B$10)))</f>
        <v>-49947.838065755786</v>
      </c>
      <c r="BG75" s="25">
        <f ca="1">SUM(BC75:BF75)</f>
        <v>-188435.13030092718</v>
      </c>
    </row>
    <row r="76" spans="1:59" ht="15" customHeight="1" x14ac:dyDescent="0.35">
      <c r="B76" s="55" t="s">
        <v>80</v>
      </c>
      <c r="C76" s="54">
        <f t="shared" ref="C76:AH76" ca="1" si="28">SUM(C73:C75)</f>
        <v>-14018.290415929208</v>
      </c>
      <c r="D76" s="54">
        <f t="shared" ca="1" si="28"/>
        <v>0</v>
      </c>
      <c r="E76" s="54">
        <f t="shared" ca="1" si="28"/>
        <v>0</v>
      </c>
      <c r="F76" s="54">
        <f t="shared" ca="1" si="28"/>
        <v>0</v>
      </c>
      <c r="G76" s="54">
        <f t="shared" ca="1" si="28"/>
        <v>0</v>
      </c>
      <c r="H76" s="54">
        <f t="shared" ca="1" si="28"/>
        <v>-14140.950457068589</v>
      </c>
      <c r="I76" s="54">
        <f t="shared" ca="1" si="28"/>
        <v>0</v>
      </c>
      <c r="J76" s="54">
        <f t="shared" ca="1" si="28"/>
        <v>0</v>
      </c>
      <c r="K76" s="54">
        <f t="shared" ca="1" si="28"/>
        <v>0</v>
      </c>
      <c r="L76" s="54">
        <f t="shared" ca="1" si="28"/>
        <v>-14264.683773567938</v>
      </c>
      <c r="M76" s="54">
        <f t="shared" ca="1" si="28"/>
        <v>0</v>
      </c>
      <c r="N76" s="54">
        <f t="shared" ca="1" si="28"/>
        <v>0</v>
      </c>
      <c r="O76" s="54">
        <f t="shared" ca="1" si="28"/>
        <v>100000</v>
      </c>
      <c r="P76" s="54">
        <f t="shared" ca="1" si="28"/>
        <v>-15163.889794398403</v>
      </c>
      <c r="Q76" s="54">
        <f t="shared" ca="1" si="28"/>
        <v>0</v>
      </c>
      <c r="R76" s="54">
        <f t="shared" ca="1" si="28"/>
        <v>0</v>
      </c>
      <c r="S76" s="54">
        <f t="shared" ca="1" si="28"/>
        <v>0</v>
      </c>
      <c r="T76" s="54">
        <f t="shared" ca="1" si="28"/>
        <v>0</v>
      </c>
      <c r="U76" s="54">
        <f t="shared" ca="1" si="28"/>
        <v>-15800.948830099387</v>
      </c>
      <c r="V76" s="54">
        <f t="shared" ca="1" si="28"/>
        <v>0</v>
      </c>
      <c r="W76" s="54">
        <f t="shared" ca="1" si="28"/>
        <v>0</v>
      </c>
      <c r="X76" s="54">
        <f t="shared" ca="1" si="28"/>
        <v>0</v>
      </c>
      <c r="Y76" s="54">
        <f t="shared" ca="1" si="28"/>
        <v>-15939.207132362755</v>
      </c>
      <c r="Z76" s="54">
        <f t="shared" ca="1" si="28"/>
        <v>0</v>
      </c>
      <c r="AA76" s="54">
        <f t="shared" ca="1" si="28"/>
        <v>0</v>
      </c>
      <c r="AB76" s="54">
        <f t="shared" ca="1" si="28"/>
        <v>0</v>
      </c>
      <c r="AC76" s="54">
        <f t="shared" ca="1" si="28"/>
        <v>0</v>
      </c>
      <c r="AD76" s="54">
        <f t="shared" ca="1" si="28"/>
        <v>-16078.675194770931</v>
      </c>
      <c r="AE76" s="54">
        <f t="shared" ca="1" si="28"/>
        <v>0</v>
      </c>
      <c r="AF76" s="54">
        <f t="shared" ca="1" si="28"/>
        <v>0</v>
      </c>
      <c r="AG76" s="54">
        <f t="shared" ca="1" si="28"/>
        <v>0</v>
      </c>
      <c r="AH76" s="54">
        <f t="shared" ca="1" si="28"/>
        <v>-16219.363602725176</v>
      </c>
      <c r="AI76" s="54">
        <f t="shared" ref="AI76:BG76" ca="1" si="29">SUM(AI73:AI75)</f>
        <v>0</v>
      </c>
      <c r="AJ76" s="54">
        <f t="shared" ca="1" si="29"/>
        <v>0</v>
      </c>
      <c r="AK76" s="54">
        <f t="shared" ca="1" si="29"/>
        <v>0</v>
      </c>
      <c r="AL76" s="54">
        <f t="shared" ca="1" si="29"/>
        <v>-16361.283034249022</v>
      </c>
      <c r="AM76" s="54">
        <f t="shared" ca="1" si="29"/>
        <v>0</v>
      </c>
      <c r="AN76" s="54">
        <f t="shared" ca="1" si="29"/>
        <v>0</v>
      </c>
      <c r="AO76" s="54">
        <f t="shared" ca="1" si="29"/>
        <v>0</v>
      </c>
      <c r="AP76" s="54">
        <f t="shared" ca="1" si="29"/>
        <v>0</v>
      </c>
      <c r="AQ76" s="54">
        <f t="shared" ca="1" si="29"/>
        <v>-16504.4442607987</v>
      </c>
      <c r="AR76" s="54">
        <f t="shared" ca="1" si="29"/>
        <v>0</v>
      </c>
      <c r="AS76" s="54">
        <f t="shared" ca="1" si="29"/>
        <v>0</v>
      </c>
      <c r="AT76" s="54">
        <f t="shared" ca="1" si="29"/>
        <v>0</v>
      </c>
      <c r="AU76" s="54">
        <f t="shared" ca="1" si="29"/>
        <v>-16648.85814808069</v>
      </c>
      <c r="AV76" s="54">
        <f t="shared" ca="1" si="29"/>
        <v>0</v>
      </c>
      <c r="AW76" s="54">
        <f t="shared" ca="1" si="29"/>
        <v>0</v>
      </c>
      <c r="AX76" s="54">
        <f t="shared" ca="1" si="29"/>
        <v>0</v>
      </c>
      <c r="AY76" s="54">
        <f t="shared" ca="1" si="29"/>
        <v>-16794.535656876396</v>
      </c>
      <c r="AZ76" s="54">
        <f t="shared" ca="1" si="29"/>
        <v>0</v>
      </c>
      <c r="BA76" s="54">
        <f t="shared" ca="1" si="29"/>
        <v>0</v>
      </c>
      <c r="BB76" s="54">
        <f t="shared" ca="1" si="29"/>
        <v>0</v>
      </c>
      <c r="BC76" s="54">
        <f t="shared" ca="1" si="29"/>
        <v>57576.075353434266</v>
      </c>
      <c r="BD76" s="54">
        <f t="shared" ca="1" si="29"/>
        <v>-46904.045756860542</v>
      </c>
      <c r="BE76" s="54">
        <f t="shared" ca="1" si="29"/>
        <v>-48659.321831745125</v>
      </c>
      <c r="BF76" s="54">
        <f t="shared" ca="1" si="29"/>
        <v>-49947.838065755786</v>
      </c>
      <c r="BG76" s="54">
        <f t="shared" ca="1" si="29"/>
        <v>-87935.13030092718</v>
      </c>
    </row>
    <row r="77" spans="1:59" ht="15" customHeight="1" x14ac:dyDescent="0.3">
      <c r="C77" s="25"/>
      <c r="D77" s="25"/>
      <c r="E77" s="25"/>
      <c r="F77" s="25"/>
      <c r="G77" s="25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</row>
    <row r="78" spans="1:59" ht="15" customHeight="1" x14ac:dyDescent="0.3">
      <c r="B78" s="7" t="s">
        <v>81</v>
      </c>
      <c r="C78" s="25">
        <f t="shared" ref="C78:AH78" ca="1" si="30">SUM(C66,C70,C76)</f>
        <v>-86693.290415929208</v>
      </c>
      <c r="D78" s="25">
        <f t="shared" ca="1" si="30"/>
        <v>31507.285714285725</v>
      </c>
      <c r="E78" s="25">
        <f t="shared" ca="1" si="30"/>
        <v>-9488.23809523815</v>
      </c>
      <c r="F78" s="25">
        <f t="shared" ca="1" si="30"/>
        <v>17155.809523809534</v>
      </c>
      <c r="G78" s="25">
        <f t="shared" ca="1" si="30"/>
        <v>8862.0000000000146</v>
      </c>
      <c r="H78" s="25">
        <f t="shared" ca="1" si="30"/>
        <v>-18122.504701643498</v>
      </c>
      <c r="I78" s="25">
        <f t="shared" ca="1" si="30"/>
        <v>14535.357142857159</v>
      </c>
      <c r="J78" s="25">
        <f t="shared" ca="1" si="30"/>
        <v>10646.071428571449</v>
      </c>
      <c r="K78" s="25">
        <f t="shared" ca="1" si="30"/>
        <v>18032.85714285713</v>
      </c>
      <c r="L78" s="25">
        <f t="shared" ca="1" si="30"/>
        <v>-9691.8618445006286</v>
      </c>
      <c r="M78" s="25">
        <f t="shared" ca="1" si="30"/>
        <v>781.42857142855064</v>
      </c>
      <c r="N78" s="25">
        <f t="shared" ca="1" si="30"/>
        <v>1327.8571428571449</v>
      </c>
      <c r="O78" s="25">
        <f t="shared" ca="1" si="30"/>
        <v>14580.142857142855</v>
      </c>
      <c r="P78" s="25">
        <f t="shared" ca="1" si="30"/>
        <v>-8507.537596598082</v>
      </c>
      <c r="Q78" s="25">
        <f t="shared" ca="1" si="30"/>
        <v>1208.5714285714203</v>
      </c>
      <c r="R78" s="25">
        <f t="shared" ca="1" si="30"/>
        <v>6906.7857142857247</v>
      </c>
      <c r="S78" s="25">
        <f t="shared" ca="1" si="30"/>
        <v>15241.071428571406</v>
      </c>
      <c r="T78" s="25">
        <f t="shared" ca="1" si="30"/>
        <v>24237.14285714287</v>
      </c>
      <c r="U78" s="25">
        <f t="shared" ca="1" si="30"/>
        <v>-17759.466168026662</v>
      </c>
      <c r="V78" s="25">
        <f t="shared" ca="1" si="30"/>
        <v>9917.8571428571304</v>
      </c>
      <c r="W78" s="25">
        <f t="shared" ca="1" si="30"/>
        <v>17440.428571428551</v>
      </c>
      <c r="X78" s="25">
        <f t="shared" ca="1" si="30"/>
        <v>26982.571428571478</v>
      </c>
      <c r="Y78" s="25">
        <f t="shared" ca="1" si="30"/>
        <v>-62224.823310883818</v>
      </c>
      <c r="Z78" s="25">
        <f t="shared" ca="1" si="30"/>
        <v>1795.7142857142608</v>
      </c>
      <c r="AA78" s="25">
        <f t="shared" ca="1" si="30"/>
        <v>3790.0000000000291</v>
      </c>
      <c r="AB78" s="25">
        <f t="shared" ca="1" si="30"/>
        <v>-52281.0390395793</v>
      </c>
      <c r="AC78" s="25">
        <f t="shared" ca="1" si="30"/>
        <v>21555</v>
      </c>
      <c r="AD78" s="25">
        <f t="shared" ca="1" si="30"/>
        <v>-15306.251882312372</v>
      </c>
      <c r="AE78" s="25">
        <f t="shared" ca="1" si="30"/>
        <v>-33325.71428571429</v>
      </c>
      <c r="AF78" s="25">
        <f t="shared" ca="1" si="30"/>
        <v>25604.285714285681</v>
      </c>
      <c r="AG78" s="25">
        <f t="shared" ca="1" si="30"/>
        <v>26042.857142857189</v>
      </c>
      <c r="AH78" s="25">
        <f t="shared" ca="1" si="30"/>
        <v>6725.3195462590465</v>
      </c>
      <c r="AI78" s="25">
        <f t="shared" ref="AI78:BG78" ca="1" si="31">SUM(AI66,AI70,AI76)</f>
        <v>18455.142857142841</v>
      </c>
      <c r="AJ78" s="25">
        <f t="shared" ca="1" si="31"/>
        <v>2780.7142857142899</v>
      </c>
      <c r="AK78" s="25">
        <f t="shared" ca="1" si="31"/>
        <v>22716.57142857142</v>
      </c>
      <c r="AL78" s="25">
        <f t="shared" ca="1" si="31"/>
        <v>-19151.823310883821</v>
      </c>
      <c r="AM78" s="25">
        <f t="shared" ca="1" si="31"/>
        <v>15812.85714285713</v>
      </c>
      <c r="AN78" s="25">
        <f t="shared" ca="1" si="31"/>
        <v>19073.571428571478</v>
      </c>
      <c r="AO78" s="25">
        <f t="shared" ca="1" si="31"/>
        <v>25099.999999999971</v>
      </c>
      <c r="AP78" s="25">
        <f t="shared" ca="1" si="31"/>
        <v>32730</v>
      </c>
      <c r="AQ78" s="25">
        <f t="shared" ca="1" si="31"/>
        <v>-4166.9661680266618</v>
      </c>
      <c r="AR78" s="25">
        <f t="shared" ca="1" si="31"/>
        <v>40443.57142857142</v>
      </c>
      <c r="AS78" s="25">
        <f t="shared" ca="1" si="31"/>
        <v>52760.000000000036</v>
      </c>
      <c r="AT78" s="25">
        <f t="shared" ca="1" si="31"/>
        <v>34476.571428571406</v>
      </c>
      <c r="AU78" s="25">
        <f t="shared" ca="1" si="31"/>
        <v>12394.462403401885</v>
      </c>
      <c r="AV78" s="25">
        <f t="shared" ca="1" si="31"/>
        <v>6647.4285714285943</v>
      </c>
      <c r="AW78" s="25">
        <f t="shared" ca="1" si="31"/>
        <v>-9041.0000000000146</v>
      </c>
      <c r="AX78" s="25">
        <f t="shared" ca="1" si="31"/>
        <v>-20666.857142857087</v>
      </c>
      <c r="AY78" s="25">
        <f t="shared" ca="1" si="31"/>
        <v>-58088.966168026695</v>
      </c>
      <c r="AZ78" s="25">
        <f t="shared" ca="1" si="31"/>
        <v>-28896.571428571449</v>
      </c>
      <c r="BA78" s="25">
        <f t="shared" ca="1" si="31"/>
        <v>8033.2857142857101</v>
      </c>
      <c r="BB78" s="25">
        <f t="shared" ca="1" si="31"/>
        <v>-61514.284466158322</v>
      </c>
      <c r="BC78" s="25">
        <f t="shared" ca="1" si="31"/>
        <v>-6567.0855335019151</v>
      </c>
      <c r="BD78" s="25">
        <f t="shared" ca="1" si="31"/>
        <v>-33252.723257944999</v>
      </c>
      <c r="BE78" s="25">
        <f t="shared" ca="1" si="31"/>
        <v>116082.53006734856</v>
      </c>
      <c r="BF78" s="25">
        <f t="shared" ca="1" si="31"/>
        <v>5110.6741726188338</v>
      </c>
      <c r="BG78" s="25">
        <f t="shared" ca="1" si="31"/>
        <v>81373.395448520576</v>
      </c>
    </row>
    <row r="79" spans="1:59" ht="15" customHeight="1" x14ac:dyDescent="0.3">
      <c r="C79" s="25"/>
      <c r="D79" s="25"/>
      <c r="E79" s="25"/>
      <c r="F79" s="25"/>
      <c r="G79" s="25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</row>
    <row r="80" spans="1:59" ht="15" customHeight="1" x14ac:dyDescent="0.3">
      <c r="B80" s="7" t="s">
        <v>82</v>
      </c>
      <c r="C80" s="25">
        <f ca="1">OFFSET(BS!$B$10,0,COLUMN(C$52)-COLUMN($B$52),1,1)</f>
        <v>21000</v>
      </c>
      <c r="D80" s="25">
        <f ca="1">OFFSET(BS!$B$10,0,COLUMN(D$52)-COLUMN($B$52),1,1)</f>
        <v>-65693.290415929208</v>
      </c>
      <c r="E80" s="25">
        <f ca="1">OFFSET(BS!$B$10,0,COLUMN(E$52)-COLUMN($B$52),1,1)</f>
        <v>-34186.004701643484</v>
      </c>
      <c r="F80" s="25">
        <f ca="1">OFFSET(BS!$B$10,0,COLUMN(F$52)-COLUMN($B$52),1,1)</f>
        <v>-43674.242796881634</v>
      </c>
      <c r="G80" s="25">
        <f ca="1">OFFSET(BS!$B$10,0,COLUMN(G$52)-COLUMN($B$52),1,1)</f>
        <v>-26518.4332730721</v>
      </c>
      <c r="H80" s="25">
        <f ca="1">OFFSET(BS!$B$10,0,COLUMN(H$52)-COLUMN($B$52),1,1)</f>
        <v>-17656.433273072085</v>
      </c>
      <c r="I80" s="25">
        <f ca="1">OFFSET(BS!$B$10,0,COLUMN(I$52)-COLUMN($B$52),1,1)</f>
        <v>-35778.937974715584</v>
      </c>
      <c r="J80" s="25">
        <f ca="1">OFFSET(BS!$B$10,0,COLUMN(J$52)-COLUMN($B$52),1,1)</f>
        <v>-21243.580831858424</v>
      </c>
      <c r="K80" s="25">
        <f ca="1">OFFSET(BS!$B$10,0,COLUMN(K$52)-COLUMN($B$52),1,1)</f>
        <v>-10597.509403286975</v>
      </c>
      <c r="L80" s="25">
        <f ca="1">OFFSET(BS!$B$10,0,COLUMN(L$52)-COLUMN($B$52),1,1)</f>
        <v>7435.3477395701557</v>
      </c>
      <c r="M80" s="25">
        <f ca="1">OFFSET(BS!$B$10,0,COLUMN(M$52)-COLUMN($B$52),1,1)</f>
        <v>-2256.514104930473</v>
      </c>
      <c r="N80" s="25">
        <f ca="1">OFFSET(BS!$B$10,0,COLUMN(N$52)-COLUMN($B$52),1,1)</f>
        <v>-1475.0855335019223</v>
      </c>
      <c r="O80" s="25">
        <f ca="1">OFFSET(BS!$B$10,0,COLUMN(O$52)-COLUMN($B$52),1,1)</f>
        <v>-147.22839064477739</v>
      </c>
      <c r="P80" s="25">
        <f ca="1">OFFSET(BS!$B$10,0,COLUMN(P$52)-COLUMN($B$52),1,1)</f>
        <v>14432.914466498078</v>
      </c>
      <c r="Q80" s="25">
        <f ca="1">OFFSET(BS!$B$10,0,COLUMN(Q$52)-COLUMN($B$52),1,1)</f>
        <v>5925.3768698999957</v>
      </c>
      <c r="R80" s="25">
        <f ca="1">OFFSET(BS!$B$10,0,COLUMN(R$52)-COLUMN($B$52),1,1)</f>
        <v>7133.9482984714159</v>
      </c>
      <c r="S80" s="25">
        <f ca="1">OFFSET(BS!$B$10,0,COLUMN(S$52)-COLUMN($B$52),1,1)</f>
        <v>14040.734012757141</v>
      </c>
      <c r="T80" s="25">
        <f ca="1">OFFSET(BS!$B$10,0,COLUMN(T$52)-COLUMN($B$52),1,1)</f>
        <v>29281.805441328546</v>
      </c>
      <c r="U80" s="25">
        <f ca="1">OFFSET(BS!$B$10,0,COLUMN(U$52)-COLUMN($B$52),1,1)</f>
        <v>53518.948298471412</v>
      </c>
      <c r="V80" s="25">
        <f ca="1">OFFSET(BS!$B$10,0,COLUMN(V$52)-COLUMN($B$52),1,1)</f>
        <v>35759.482130444754</v>
      </c>
      <c r="W80" s="25">
        <f ca="1">OFFSET(BS!$B$10,0,COLUMN(W$52)-COLUMN($B$52),1,1)</f>
        <v>45677.339273301885</v>
      </c>
      <c r="X80" s="25">
        <f ca="1">OFFSET(BS!$B$10,0,COLUMN(X$52)-COLUMN($B$52),1,1)</f>
        <v>63117.767844730435</v>
      </c>
      <c r="Y80" s="25">
        <f ca="1">OFFSET(BS!$B$10,0,COLUMN(Y$52)-COLUMN($B$52),1,1)</f>
        <v>90100.339273301914</v>
      </c>
      <c r="Z80" s="25">
        <f ca="1">OFFSET(BS!$B$10,0,COLUMN(Z$52)-COLUMN($B$52),1,1)</f>
        <v>27875.515962418096</v>
      </c>
      <c r="AA80" s="25">
        <f ca="1">OFFSET(BS!$B$10,0,COLUMN(AA$52)-COLUMN($B$52),1,1)</f>
        <v>29671.230248132357</v>
      </c>
      <c r="AB80" s="25">
        <f ca="1">OFFSET(BS!$B$10,0,COLUMN(AB$52)-COLUMN($B$52),1,1)</f>
        <v>33461.230248132386</v>
      </c>
      <c r="AC80" s="25">
        <f ca="1">OFFSET(BS!$B$10,0,COLUMN(AC$52)-COLUMN($B$52),1,1)</f>
        <v>-18819.808791446914</v>
      </c>
      <c r="AD80" s="25">
        <f ca="1">OFFSET(BS!$B$10,0,COLUMN(AD$52)-COLUMN($B$52),1,1)</f>
        <v>2735.1912085530857</v>
      </c>
      <c r="AE80" s="25">
        <f ca="1">OFFSET(BS!$B$10,0,COLUMN(AE$52)-COLUMN($B$52),1,1)</f>
        <v>-12571.060673759286</v>
      </c>
      <c r="AF80" s="25">
        <f ca="1">OFFSET(BS!$B$10,0,COLUMN(AF$52)-COLUMN($B$52),1,1)</f>
        <v>-45896.77495947358</v>
      </c>
      <c r="AG80" s="25">
        <f ca="1">OFFSET(BS!$B$10,0,COLUMN(AG$52)-COLUMN($B$52),1,1)</f>
        <v>-20292.489245187899</v>
      </c>
      <c r="AH80" s="25">
        <f ca="1">OFFSET(BS!$B$10,0,COLUMN(AH$52)-COLUMN($B$52),1,1)</f>
        <v>5750.36789766929</v>
      </c>
      <c r="AI80" s="25">
        <f ca="1">OFFSET(BS!$B$10,0,COLUMN(AI$52)-COLUMN($B$52),1,1)</f>
        <v>12475.687443928337</v>
      </c>
      <c r="AJ80" s="25">
        <f ca="1">OFFSET(BS!$B$10,0,COLUMN(AJ$52)-COLUMN($B$52),1,1)</f>
        <v>30930.830301071175</v>
      </c>
      <c r="AK80" s="25">
        <f ca="1">OFFSET(BS!$B$10,0,COLUMN(AK$52)-COLUMN($B$52),1,1)</f>
        <v>33711.544586785465</v>
      </c>
      <c r="AL80" s="25">
        <f ca="1">OFFSET(BS!$B$10,0,COLUMN(AL$52)-COLUMN($B$52),1,1)</f>
        <v>56428.116015356885</v>
      </c>
      <c r="AM80" s="25">
        <f ca="1">OFFSET(BS!$B$10,0,COLUMN(AM$52)-COLUMN($B$52),1,1)</f>
        <v>37276.29270447306</v>
      </c>
      <c r="AN80" s="25">
        <f ca="1">OFFSET(BS!$B$10,0,COLUMN(AN$52)-COLUMN($B$52),1,1)</f>
        <v>53089.149847330191</v>
      </c>
      <c r="AO80" s="25">
        <f ca="1">OFFSET(BS!$B$10,0,COLUMN(AO$52)-COLUMN($B$52),1,1)</f>
        <v>72162.721275901669</v>
      </c>
      <c r="AP80" s="25">
        <f ca="1">OFFSET(BS!$B$10,0,COLUMN(AP$52)-COLUMN($B$52),1,1)</f>
        <v>97262.72127590164</v>
      </c>
      <c r="AQ80" s="25">
        <f ca="1">OFFSET(BS!$B$10,0,COLUMN(AQ$52)-COLUMN($B$52),1,1)</f>
        <v>129992.72127590164</v>
      </c>
      <c r="AR80" s="25">
        <f ca="1">OFFSET(BS!$B$10,0,COLUMN(AR$52)-COLUMN($B$52),1,1)</f>
        <v>125825.75510787498</v>
      </c>
      <c r="AS80" s="25">
        <f ca="1">OFFSET(BS!$B$10,0,COLUMN(AS$52)-COLUMN($B$52),1,1)</f>
        <v>166269.3265364464</v>
      </c>
      <c r="AT80" s="25">
        <f ca="1">OFFSET(BS!$B$10,0,COLUMN(AT$52)-COLUMN($B$52),1,1)</f>
        <v>219029.32653644643</v>
      </c>
      <c r="AU80" s="25">
        <f ca="1">OFFSET(BS!$B$10,0,COLUMN(AU$52)-COLUMN($B$52),1,1)</f>
        <v>253505.89796501782</v>
      </c>
      <c r="AV80" s="25">
        <f ca="1">OFFSET(BS!$B$10,0,COLUMN(AV$52)-COLUMN($B$52),1,1)</f>
        <v>265900.36036841973</v>
      </c>
      <c r="AW80" s="25">
        <f ca="1">OFFSET(BS!$B$10,0,COLUMN(AW$52)-COLUMN($B$52),1,1)</f>
        <v>272547.78893984831</v>
      </c>
      <c r="AX80" s="25">
        <f ca="1">OFFSET(BS!$B$10,0,COLUMN(AX$52)-COLUMN($B$52),1,1)</f>
        <v>263506.78893984831</v>
      </c>
      <c r="AY80" s="25">
        <f ca="1">OFFSET(BS!$B$10,0,COLUMN(AY$52)-COLUMN($B$52),1,1)</f>
        <v>242839.93179699121</v>
      </c>
      <c r="AZ80" s="25">
        <f ca="1">OFFSET(BS!$B$10,0,COLUMN(AZ$52)-COLUMN($B$52),1,1)</f>
        <v>184750.96562896451</v>
      </c>
      <c r="BA80" s="25">
        <f ca="1">OFFSET(BS!$B$10,0,COLUMN(BA$52)-COLUMN($B$52),1,1)</f>
        <v>155854.39420039306</v>
      </c>
      <c r="BB80" s="25">
        <f ca="1">OFFSET(BS!$B$10,0,COLUMN(BB$52)-COLUMN($B$52),1,1)</f>
        <v>163887.67991467877</v>
      </c>
      <c r="BC80" s="25">
        <f ca="1">OFFSET($B$80,0,1,1,1)</f>
        <v>21000</v>
      </c>
      <c r="BD80" s="25">
        <f ca="1">BC82</f>
        <v>14432.914466498085</v>
      </c>
      <c r="BE80" s="25">
        <f ca="1">BD82</f>
        <v>-18819.808791446914</v>
      </c>
      <c r="BF80" s="25">
        <f ca="1">BE82</f>
        <v>97262.721275901655</v>
      </c>
      <c r="BG80" s="25">
        <f ca="1">OFFSET($B$80,0,1,1,1)</f>
        <v>21000</v>
      </c>
    </row>
    <row r="81" spans="2:59" ht="15" customHeight="1" x14ac:dyDescent="0.3">
      <c r="C81" s="25"/>
      <c r="D81" s="25"/>
      <c r="E81" s="25"/>
      <c r="F81" s="25"/>
      <c r="G81" s="25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 spans="2:59" ht="15" customHeight="1" thickBot="1" x14ac:dyDescent="0.4">
      <c r="B82" s="2" t="s">
        <v>83</v>
      </c>
      <c r="C82" s="35">
        <f t="shared" ref="C82:AH82" ca="1" si="32">SUM(C78,C80)</f>
        <v>-65693.290415929208</v>
      </c>
      <c r="D82" s="35">
        <f t="shared" ca="1" si="32"/>
        <v>-34186.004701643484</v>
      </c>
      <c r="E82" s="35">
        <f t="shared" ca="1" si="32"/>
        <v>-43674.242796881634</v>
      </c>
      <c r="F82" s="35">
        <f t="shared" ca="1" si="32"/>
        <v>-26518.4332730721</v>
      </c>
      <c r="G82" s="35">
        <f t="shared" ca="1" si="32"/>
        <v>-17656.433273072085</v>
      </c>
      <c r="H82" s="35">
        <f t="shared" ca="1" si="32"/>
        <v>-35778.937974715584</v>
      </c>
      <c r="I82" s="35">
        <f t="shared" ca="1" si="32"/>
        <v>-21243.580831858424</v>
      </c>
      <c r="J82" s="35">
        <f t="shared" ca="1" si="32"/>
        <v>-10597.509403286975</v>
      </c>
      <c r="K82" s="35">
        <f t="shared" ca="1" si="32"/>
        <v>7435.3477395701557</v>
      </c>
      <c r="L82" s="35">
        <f t="shared" ca="1" si="32"/>
        <v>-2256.514104930473</v>
      </c>
      <c r="M82" s="35">
        <f t="shared" ca="1" si="32"/>
        <v>-1475.0855335019223</v>
      </c>
      <c r="N82" s="35">
        <f t="shared" ca="1" si="32"/>
        <v>-147.22839064477739</v>
      </c>
      <c r="O82" s="35">
        <f t="shared" ca="1" si="32"/>
        <v>14432.914466498078</v>
      </c>
      <c r="P82" s="35">
        <f t="shared" ca="1" si="32"/>
        <v>5925.3768698999957</v>
      </c>
      <c r="Q82" s="35">
        <f t="shared" ca="1" si="32"/>
        <v>7133.9482984714159</v>
      </c>
      <c r="R82" s="35">
        <f t="shared" ca="1" si="32"/>
        <v>14040.734012757141</v>
      </c>
      <c r="S82" s="35">
        <f t="shared" ca="1" si="32"/>
        <v>29281.805441328546</v>
      </c>
      <c r="T82" s="35">
        <f t="shared" ca="1" si="32"/>
        <v>53518.948298471412</v>
      </c>
      <c r="U82" s="35">
        <f t="shared" ca="1" si="32"/>
        <v>35759.482130444754</v>
      </c>
      <c r="V82" s="35">
        <f t="shared" ca="1" si="32"/>
        <v>45677.339273301885</v>
      </c>
      <c r="W82" s="35">
        <f t="shared" ca="1" si="32"/>
        <v>63117.767844730435</v>
      </c>
      <c r="X82" s="35">
        <f t="shared" ca="1" si="32"/>
        <v>90100.339273301914</v>
      </c>
      <c r="Y82" s="35">
        <f t="shared" ca="1" si="32"/>
        <v>27875.515962418096</v>
      </c>
      <c r="Z82" s="35">
        <f t="shared" ca="1" si="32"/>
        <v>29671.230248132357</v>
      </c>
      <c r="AA82" s="35">
        <f t="shared" ca="1" si="32"/>
        <v>33461.230248132386</v>
      </c>
      <c r="AB82" s="35">
        <f t="shared" ca="1" si="32"/>
        <v>-18819.808791446914</v>
      </c>
      <c r="AC82" s="35">
        <f t="shared" ca="1" si="32"/>
        <v>2735.1912085530857</v>
      </c>
      <c r="AD82" s="35">
        <f t="shared" ca="1" si="32"/>
        <v>-12571.060673759286</v>
      </c>
      <c r="AE82" s="35">
        <f t="shared" ca="1" si="32"/>
        <v>-45896.77495947358</v>
      </c>
      <c r="AF82" s="35">
        <f t="shared" ca="1" si="32"/>
        <v>-20292.489245187899</v>
      </c>
      <c r="AG82" s="35">
        <f t="shared" ca="1" si="32"/>
        <v>5750.36789766929</v>
      </c>
      <c r="AH82" s="35">
        <f t="shared" ca="1" si="32"/>
        <v>12475.687443928337</v>
      </c>
      <c r="AI82" s="35">
        <f t="shared" ref="AI82:BG82" ca="1" si="33">SUM(AI78,AI80)</f>
        <v>30930.830301071175</v>
      </c>
      <c r="AJ82" s="35">
        <f t="shared" ca="1" si="33"/>
        <v>33711.544586785465</v>
      </c>
      <c r="AK82" s="35">
        <f t="shared" ca="1" si="33"/>
        <v>56428.116015356885</v>
      </c>
      <c r="AL82" s="35">
        <f t="shared" ca="1" si="33"/>
        <v>37276.29270447306</v>
      </c>
      <c r="AM82" s="35">
        <f t="shared" ca="1" si="33"/>
        <v>53089.149847330191</v>
      </c>
      <c r="AN82" s="35">
        <f t="shared" ca="1" si="33"/>
        <v>72162.721275901669</v>
      </c>
      <c r="AO82" s="35">
        <f t="shared" ca="1" si="33"/>
        <v>97262.72127590164</v>
      </c>
      <c r="AP82" s="35">
        <f t="shared" ca="1" si="33"/>
        <v>129992.72127590164</v>
      </c>
      <c r="AQ82" s="35">
        <f t="shared" ca="1" si="33"/>
        <v>125825.75510787498</v>
      </c>
      <c r="AR82" s="35">
        <f t="shared" ca="1" si="33"/>
        <v>166269.3265364464</v>
      </c>
      <c r="AS82" s="35">
        <f t="shared" ca="1" si="33"/>
        <v>219029.32653644643</v>
      </c>
      <c r="AT82" s="35">
        <f t="shared" ca="1" si="33"/>
        <v>253505.89796501782</v>
      </c>
      <c r="AU82" s="35">
        <f t="shared" ca="1" si="33"/>
        <v>265900.36036841973</v>
      </c>
      <c r="AV82" s="35">
        <f t="shared" ca="1" si="33"/>
        <v>272547.78893984831</v>
      </c>
      <c r="AW82" s="35">
        <f t="shared" ca="1" si="33"/>
        <v>263506.78893984831</v>
      </c>
      <c r="AX82" s="35">
        <f t="shared" ca="1" si="33"/>
        <v>242839.93179699121</v>
      </c>
      <c r="AY82" s="35">
        <f t="shared" ca="1" si="33"/>
        <v>184750.96562896451</v>
      </c>
      <c r="AZ82" s="35">
        <f t="shared" ca="1" si="33"/>
        <v>155854.39420039306</v>
      </c>
      <c r="BA82" s="35">
        <f t="shared" ca="1" si="33"/>
        <v>163887.67991467877</v>
      </c>
      <c r="BB82" s="35">
        <f t="shared" ca="1" si="33"/>
        <v>102373.39544852044</v>
      </c>
      <c r="BC82" s="35">
        <f t="shared" ca="1" si="33"/>
        <v>14432.914466498085</v>
      </c>
      <c r="BD82" s="35">
        <f t="shared" ca="1" si="33"/>
        <v>-18819.808791446914</v>
      </c>
      <c r="BE82" s="35">
        <f t="shared" ca="1" si="33"/>
        <v>97262.721275901655</v>
      </c>
      <c r="BF82" s="35">
        <f t="shared" ca="1" si="33"/>
        <v>102373.39544852049</v>
      </c>
      <c r="BG82" s="35">
        <f t="shared" ca="1" si="33"/>
        <v>102373.39544852058</v>
      </c>
    </row>
    <row r="83" spans="2:59" ht="15" customHeight="1" thickTop="1" x14ac:dyDescent="0.3">
      <c r="B83" s="5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</row>
  </sheetData>
  <phoneticPr fontId="3" type="noConversion"/>
  <pageMargins left="0.55118110236220474" right="0.55118110236220474" top="0.59055118110236227" bottom="0.59055118110236227" header="0.39370078740157483" footer="0.39370078740157483"/>
  <pageSetup paperSize="9" scale="65" fitToWidth="4" orientation="landscape" r:id="rId1"/>
  <headerFooter alignWithMargins="0">
    <oddFooter>&amp;C&amp;9Page &amp;P of &amp;N</oddFooter>
  </headerFooter>
  <rowBreaks count="1" manualBreakCount="1">
    <brk id="48" min="1" max="58" man="1"/>
  </rowBreaks>
  <colBreaks count="4" manualBreakCount="4">
    <brk id="15" max="81" man="1"/>
    <brk id="28" max="81" man="1"/>
    <brk id="41" max="81" man="1"/>
    <brk id="54" max="81" man="1"/>
  </colBreaks>
  <ignoredErrors>
    <ignoredError sqref="BC63:BG6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85"/>
  <sheetViews>
    <sheetView zoomScale="95" zoomScaleNormal="95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C5" sqref="C5"/>
    </sheetView>
  </sheetViews>
  <sheetFormatPr defaultColWidth="9.1328125" defaultRowHeight="15" customHeight="1" x14ac:dyDescent="0.3"/>
  <cols>
    <col min="1" max="1" width="3.73046875" style="5" customWidth="1"/>
    <col min="2" max="2" width="39.73046875" style="7" customWidth="1"/>
    <col min="3" max="7" width="11.73046875" style="8" customWidth="1"/>
    <col min="8" max="54" width="11.73046875" style="5" customWidth="1"/>
    <col min="55" max="59" width="12.73046875" style="5" customWidth="1"/>
    <col min="60" max="16384" width="9.1328125" style="5"/>
  </cols>
  <sheetData>
    <row r="1" spans="1:59" x14ac:dyDescent="0.4">
      <c r="B1" s="1" t="str">
        <f>Assumptions!$B$4</f>
        <v>Example Trading Limited</v>
      </c>
    </row>
    <row r="2" spans="1:59" ht="15" customHeight="1" x14ac:dyDescent="0.35">
      <c r="B2" s="6" t="s">
        <v>111</v>
      </c>
    </row>
    <row r="3" spans="1:59" s="87" customFormat="1" ht="15" customHeight="1" x14ac:dyDescent="0.35">
      <c r="B3" s="88" t="s">
        <v>60</v>
      </c>
      <c r="C3" s="89" t="str">
        <f>IF(COLUMN(C4)-2&lt;=Assumptions!$B$7,"Q1",IF(COLUMN(C4)-2&lt;=SUM(Assumptions!$B$7:$B$8),"Q2",IF(COLUMN(C4)-2&lt;=SUM(Assumptions!$B$7:$B$9),"Q3","Q4")))</f>
        <v>Q1</v>
      </c>
      <c r="D3" s="89" t="str">
        <f>IF(COLUMN(D4)-2&lt;=Assumptions!$B$7,"Q1",IF(COLUMN(D4)-2&lt;=SUM(Assumptions!$B$7:$B$8),"Q2",IF(COLUMN(D4)-2&lt;=SUM(Assumptions!$B$7:$B$9),"Q3","Q4")))</f>
        <v>Q1</v>
      </c>
      <c r="E3" s="89" t="str">
        <f>IF(COLUMN(E4)-2&lt;=Assumptions!$B$7,"Q1",IF(COLUMN(E4)-2&lt;=SUM(Assumptions!$B$7:$B$8),"Q2",IF(COLUMN(E4)-2&lt;=SUM(Assumptions!$B$7:$B$9),"Q3","Q4")))</f>
        <v>Q1</v>
      </c>
      <c r="F3" s="89" t="str">
        <f>IF(COLUMN(F4)-2&lt;=Assumptions!$B$7,"Q1",IF(COLUMN(F4)-2&lt;=SUM(Assumptions!$B$7:$B$8),"Q2",IF(COLUMN(F4)-2&lt;=SUM(Assumptions!$B$7:$B$9),"Q3","Q4")))</f>
        <v>Q1</v>
      </c>
      <c r="G3" s="89" t="str">
        <f>IF(COLUMN(G4)-2&lt;=Assumptions!$B$7,"Q1",IF(COLUMN(G4)-2&lt;=SUM(Assumptions!$B$7:$B$8),"Q2",IF(COLUMN(G4)-2&lt;=SUM(Assumptions!$B$7:$B$9),"Q3","Q4")))</f>
        <v>Q1</v>
      </c>
      <c r="H3" s="89" t="str">
        <f>IF(COLUMN(H4)-2&lt;=Assumptions!$B$7,"Q1",IF(COLUMN(H4)-2&lt;=SUM(Assumptions!$B$7:$B$8),"Q2",IF(COLUMN(H4)-2&lt;=SUM(Assumptions!$B$7:$B$9),"Q3","Q4")))</f>
        <v>Q1</v>
      </c>
      <c r="I3" s="89" t="str">
        <f>IF(COLUMN(I4)-2&lt;=Assumptions!$B$7,"Q1",IF(COLUMN(I4)-2&lt;=SUM(Assumptions!$B$7:$B$8),"Q2",IF(COLUMN(I4)-2&lt;=SUM(Assumptions!$B$7:$B$9),"Q3","Q4")))</f>
        <v>Q1</v>
      </c>
      <c r="J3" s="89" t="str">
        <f>IF(COLUMN(J4)-2&lt;=Assumptions!$B$7,"Q1",IF(COLUMN(J4)-2&lt;=SUM(Assumptions!$B$7:$B$8),"Q2",IF(COLUMN(J4)-2&lt;=SUM(Assumptions!$B$7:$B$9),"Q3","Q4")))</f>
        <v>Q1</v>
      </c>
      <c r="K3" s="89" t="str">
        <f>IF(COLUMN(K4)-2&lt;=Assumptions!$B$7,"Q1",IF(COLUMN(K4)-2&lt;=SUM(Assumptions!$B$7:$B$8),"Q2",IF(COLUMN(K4)-2&lt;=SUM(Assumptions!$B$7:$B$9),"Q3","Q4")))</f>
        <v>Q1</v>
      </c>
      <c r="L3" s="89" t="str">
        <f>IF(COLUMN(L4)-2&lt;=Assumptions!$B$7,"Q1",IF(COLUMN(L4)-2&lt;=SUM(Assumptions!$B$7:$B$8),"Q2",IF(COLUMN(L4)-2&lt;=SUM(Assumptions!$B$7:$B$9),"Q3","Q4")))</f>
        <v>Q1</v>
      </c>
      <c r="M3" s="89" t="str">
        <f>IF(COLUMN(M4)-2&lt;=Assumptions!$B$7,"Q1",IF(COLUMN(M4)-2&lt;=SUM(Assumptions!$B$7:$B$8),"Q2",IF(COLUMN(M4)-2&lt;=SUM(Assumptions!$B$7:$B$9),"Q3","Q4")))</f>
        <v>Q1</v>
      </c>
      <c r="N3" s="89" t="str">
        <f>IF(COLUMN(N4)-2&lt;=Assumptions!$B$7,"Q1",IF(COLUMN(N4)-2&lt;=SUM(Assumptions!$B$7:$B$8),"Q2",IF(COLUMN(N4)-2&lt;=SUM(Assumptions!$B$7:$B$9),"Q3","Q4")))</f>
        <v>Q1</v>
      </c>
      <c r="O3" s="89" t="str">
        <f>IF(COLUMN(O4)-2&lt;=Assumptions!$B$7,"Q1",IF(COLUMN(O4)-2&lt;=SUM(Assumptions!$B$7:$B$8),"Q2",IF(COLUMN(O4)-2&lt;=SUM(Assumptions!$B$7:$B$9),"Q3","Q4")))</f>
        <v>Q1</v>
      </c>
      <c r="P3" s="89" t="str">
        <f>IF(COLUMN(P4)-2&lt;=Assumptions!$B$7,"Q1",IF(COLUMN(P4)-2&lt;=SUM(Assumptions!$B$7:$B$8),"Q2",IF(COLUMN(P4)-2&lt;=SUM(Assumptions!$B$7:$B$9),"Q3","Q4")))</f>
        <v>Q2</v>
      </c>
      <c r="Q3" s="89" t="str">
        <f>IF(COLUMN(Q4)-2&lt;=Assumptions!$B$7,"Q1",IF(COLUMN(Q4)-2&lt;=SUM(Assumptions!$B$7:$B$8),"Q2",IF(COLUMN(Q4)-2&lt;=SUM(Assumptions!$B$7:$B$9),"Q3","Q4")))</f>
        <v>Q2</v>
      </c>
      <c r="R3" s="89" t="str">
        <f>IF(COLUMN(R4)-2&lt;=Assumptions!$B$7,"Q1",IF(COLUMN(R4)-2&lt;=SUM(Assumptions!$B$7:$B$8),"Q2",IF(COLUMN(R4)-2&lt;=SUM(Assumptions!$B$7:$B$9),"Q3","Q4")))</f>
        <v>Q2</v>
      </c>
      <c r="S3" s="89" t="str">
        <f>IF(COLUMN(S4)-2&lt;=Assumptions!$B$7,"Q1",IF(COLUMN(S4)-2&lt;=SUM(Assumptions!$B$7:$B$8),"Q2",IF(COLUMN(S4)-2&lt;=SUM(Assumptions!$B$7:$B$9),"Q3","Q4")))</f>
        <v>Q2</v>
      </c>
      <c r="T3" s="89" t="str">
        <f>IF(COLUMN(T4)-2&lt;=Assumptions!$B$7,"Q1",IF(COLUMN(T4)-2&lt;=SUM(Assumptions!$B$7:$B$8),"Q2",IF(COLUMN(T4)-2&lt;=SUM(Assumptions!$B$7:$B$9),"Q3","Q4")))</f>
        <v>Q2</v>
      </c>
      <c r="U3" s="89" t="str">
        <f>IF(COLUMN(U4)-2&lt;=Assumptions!$B$7,"Q1",IF(COLUMN(U4)-2&lt;=SUM(Assumptions!$B$7:$B$8),"Q2",IF(COLUMN(U4)-2&lt;=SUM(Assumptions!$B$7:$B$9),"Q3","Q4")))</f>
        <v>Q2</v>
      </c>
      <c r="V3" s="89" t="str">
        <f>IF(COLUMN(V4)-2&lt;=Assumptions!$B$7,"Q1",IF(COLUMN(V4)-2&lt;=SUM(Assumptions!$B$7:$B$8),"Q2",IF(COLUMN(V4)-2&lt;=SUM(Assumptions!$B$7:$B$9),"Q3","Q4")))</f>
        <v>Q2</v>
      </c>
      <c r="W3" s="89" t="str">
        <f>IF(COLUMN(W4)-2&lt;=Assumptions!$B$7,"Q1",IF(COLUMN(W4)-2&lt;=SUM(Assumptions!$B$7:$B$8),"Q2",IF(COLUMN(W4)-2&lt;=SUM(Assumptions!$B$7:$B$9),"Q3","Q4")))</f>
        <v>Q2</v>
      </c>
      <c r="X3" s="89" t="str">
        <f>IF(COLUMN(X4)-2&lt;=Assumptions!$B$7,"Q1",IF(COLUMN(X4)-2&lt;=SUM(Assumptions!$B$7:$B$8),"Q2",IF(COLUMN(X4)-2&lt;=SUM(Assumptions!$B$7:$B$9),"Q3","Q4")))</f>
        <v>Q2</v>
      </c>
      <c r="Y3" s="89" t="str">
        <f>IF(COLUMN(Y4)-2&lt;=Assumptions!$B$7,"Q1",IF(COLUMN(Y4)-2&lt;=SUM(Assumptions!$B$7:$B$8),"Q2",IF(COLUMN(Y4)-2&lt;=SUM(Assumptions!$B$7:$B$9),"Q3","Q4")))</f>
        <v>Q2</v>
      </c>
      <c r="Z3" s="89" t="str">
        <f>IF(COLUMN(Z4)-2&lt;=Assumptions!$B$7,"Q1",IF(COLUMN(Z4)-2&lt;=SUM(Assumptions!$B$7:$B$8),"Q2",IF(COLUMN(Z4)-2&lt;=SUM(Assumptions!$B$7:$B$9),"Q3","Q4")))</f>
        <v>Q2</v>
      </c>
      <c r="AA3" s="89" t="str">
        <f>IF(COLUMN(AA4)-2&lt;=Assumptions!$B$7,"Q1",IF(COLUMN(AA4)-2&lt;=SUM(Assumptions!$B$7:$B$8),"Q2",IF(COLUMN(AA4)-2&lt;=SUM(Assumptions!$B$7:$B$9),"Q3","Q4")))</f>
        <v>Q2</v>
      </c>
      <c r="AB3" s="89" t="str">
        <f>IF(COLUMN(AB4)-2&lt;=Assumptions!$B$7,"Q1",IF(COLUMN(AB4)-2&lt;=SUM(Assumptions!$B$7:$B$8),"Q2",IF(COLUMN(AB4)-2&lt;=SUM(Assumptions!$B$7:$B$9),"Q3","Q4")))</f>
        <v>Q2</v>
      </c>
      <c r="AC3" s="89" t="str">
        <f>IF(COLUMN(AC4)-2&lt;=Assumptions!$B$7,"Q1",IF(COLUMN(AC4)-2&lt;=SUM(Assumptions!$B$7:$B$8),"Q2",IF(COLUMN(AC4)-2&lt;=SUM(Assumptions!$B$7:$B$9),"Q3","Q4")))</f>
        <v>Q3</v>
      </c>
      <c r="AD3" s="89" t="str">
        <f>IF(COLUMN(AD4)-2&lt;=Assumptions!$B$7,"Q1",IF(COLUMN(AD4)-2&lt;=SUM(Assumptions!$B$7:$B$8),"Q2",IF(COLUMN(AD4)-2&lt;=SUM(Assumptions!$B$7:$B$9),"Q3","Q4")))</f>
        <v>Q3</v>
      </c>
      <c r="AE3" s="89" t="str">
        <f>IF(COLUMN(AE4)-2&lt;=Assumptions!$B$7,"Q1",IF(COLUMN(AE4)-2&lt;=SUM(Assumptions!$B$7:$B$8),"Q2",IF(COLUMN(AE4)-2&lt;=SUM(Assumptions!$B$7:$B$9),"Q3","Q4")))</f>
        <v>Q3</v>
      </c>
      <c r="AF3" s="89" t="str">
        <f>IF(COLUMN(AF4)-2&lt;=Assumptions!$B$7,"Q1",IF(COLUMN(AF4)-2&lt;=SUM(Assumptions!$B$7:$B$8),"Q2",IF(COLUMN(AF4)-2&lt;=SUM(Assumptions!$B$7:$B$9),"Q3","Q4")))</f>
        <v>Q3</v>
      </c>
      <c r="AG3" s="89" t="str">
        <f>IF(COLUMN(AG4)-2&lt;=Assumptions!$B$7,"Q1",IF(COLUMN(AG4)-2&lt;=SUM(Assumptions!$B$7:$B$8),"Q2",IF(COLUMN(AG4)-2&lt;=SUM(Assumptions!$B$7:$B$9),"Q3","Q4")))</f>
        <v>Q3</v>
      </c>
      <c r="AH3" s="89" t="str">
        <f>IF(COLUMN(AH4)-2&lt;=Assumptions!$B$7,"Q1",IF(COLUMN(AH4)-2&lt;=SUM(Assumptions!$B$7:$B$8),"Q2",IF(COLUMN(AH4)-2&lt;=SUM(Assumptions!$B$7:$B$9),"Q3","Q4")))</f>
        <v>Q3</v>
      </c>
      <c r="AI3" s="89" t="str">
        <f>IF(COLUMN(AI4)-2&lt;=Assumptions!$B$7,"Q1",IF(COLUMN(AI4)-2&lt;=SUM(Assumptions!$B$7:$B$8),"Q2",IF(COLUMN(AI4)-2&lt;=SUM(Assumptions!$B$7:$B$9),"Q3","Q4")))</f>
        <v>Q3</v>
      </c>
      <c r="AJ3" s="89" t="str">
        <f>IF(COLUMN(AJ4)-2&lt;=Assumptions!$B$7,"Q1",IF(COLUMN(AJ4)-2&lt;=SUM(Assumptions!$B$7:$B$8),"Q2",IF(COLUMN(AJ4)-2&lt;=SUM(Assumptions!$B$7:$B$9),"Q3","Q4")))</f>
        <v>Q3</v>
      </c>
      <c r="AK3" s="89" t="str">
        <f>IF(COLUMN(AK4)-2&lt;=Assumptions!$B$7,"Q1",IF(COLUMN(AK4)-2&lt;=SUM(Assumptions!$B$7:$B$8),"Q2",IF(COLUMN(AK4)-2&lt;=SUM(Assumptions!$B$7:$B$9),"Q3","Q4")))</f>
        <v>Q3</v>
      </c>
      <c r="AL3" s="89" t="str">
        <f>IF(COLUMN(AL4)-2&lt;=Assumptions!$B$7,"Q1",IF(COLUMN(AL4)-2&lt;=SUM(Assumptions!$B$7:$B$8),"Q2",IF(COLUMN(AL4)-2&lt;=SUM(Assumptions!$B$7:$B$9),"Q3","Q4")))</f>
        <v>Q3</v>
      </c>
      <c r="AM3" s="89" t="str">
        <f>IF(COLUMN(AM4)-2&lt;=Assumptions!$B$7,"Q1",IF(COLUMN(AM4)-2&lt;=SUM(Assumptions!$B$7:$B$8),"Q2",IF(COLUMN(AM4)-2&lt;=SUM(Assumptions!$B$7:$B$9),"Q3","Q4")))</f>
        <v>Q3</v>
      </c>
      <c r="AN3" s="89" t="str">
        <f>IF(COLUMN(AN4)-2&lt;=Assumptions!$B$7,"Q1",IF(COLUMN(AN4)-2&lt;=SUM(Assumptions!$B$7:$B$8),"Q2",IF(COLUMN(AN4)-2&lt;=SUM(Assumptions!$B$7:$B$9),"Q3","Q4")))</f>
        <v>Q3</v>
      </c>
      <c r="AO3" s="89" t="str">
        <f>IF(COLUMN(AO4)-2&lt;=Assumptions!$B$7,"Q1",IF(COLUMN(AO4)-2&lt;=SUM(Assumptions!$B$7:$B$8),"Q2",IF(COLUMN(AO4)-2&lt;=SUM(Assumptions!$B$7:$B$9),"Q3","Q4")))</f>
        <v>Q3</v>
      </c>
      <c r="AP3" s="89" t="str">
        <f>IF(COLUMN(AP4)-2&lt;=Assumptions!$B$7,"Q1",IF(COLUMN(AP4)-2&lt;=SUM(Assumptions!$B$7:$B$8),"Q2",IF(COLUMN(AP4)-2&lt;=SUM(Assumptions!$B$7:$B$9),"Q3","Q4")))</f>
        <v>Q4</v>
      </c>
      <c r="AQ3" s="89" t="str">
        <f>IF(COLUMN(AQ4)-2&lt;=Assumptions!$B$7,"Q1",IF(COLUMN(AQ4)-2&lt;=SUM(Assumptions!$B$7:$B$8),"Q2",IF(COLUMN(AQ4)-2&lt;=SUM(Assumptions!$B$7:$B$9),"Q3","Q4")))</f>
        <v>Q4</v>
      </c>
      <c r="AR3" s="89" t="str">
        <f>IF(COLUMN(AR4)-2&lt;=Assumptions!$B$7,"Q1",IF(COLUMN(AR4)-2&lt;=SUM(Assumptions!$B$7:$B$8),"Q2",IF(COLUMN(AR4)-2&lt;=SUM(Assumptions!$B$7:$B$9),"Q3","Q4")))</f>
        <v>Q4</v>
      </c>
      <c r="AS3" s="89" t="str">
        <f>IF(COLUMN(AS4)-2&lt;=Assumptions!$B$7,"Q1",IF(COLUMN(AS4)-2&lt;=SUM(Assumptions!$B$7:$B$8),"Q2",IF(COLUMN(AS4)-2&lt;=SUM(Assumptions!$B$7:$B$9),"Q3","Q4")))</f>
        <v>Q4</v>
      </c>
      <c r="AT3" s="89" t="str">
        <f>IF(COLUMN(AT4)-2&lt;=Assumptions!$B$7,"Q1",IF(COLUMN(AT4)-2&lt;=SUM(Assumptions!$B$7:$B$8),"Q2",IF(COLUMN(AT4)-2&lt;=SUM(Assumptions!$B$7:$B$9),"Q3","Q4")))</f>
        <v>Q4</v>
      </c>
      <c r="AU3" s="89" t="str">
        <f>IF(COLUMN(AU4)-2&lt;=Assumptions!$B$7,"Q1",IF(COLUMN(AU4)-2&lt;=SUM(Assumptions!$B$7:$B$8),"Q2",IF(COLUMN(AU4)-2&lt;=SUM(Assumptions!$B$7:$B$9),"Q3","Q4")))</f>
        <v>Q4</v>
      </c>
      <c r="AV3" s="89" t="str">
        <f>IF(COLUMN(AV4)-2&lt;=Assumptions!$B$7,"Q1",IF(COLUMN(AV4)-2&lt;=SUM(Assumptions!$B$7:$B$8),"Q2",IF(COLUMN(AV4)-2&lt;=SUM(Assumptions!$B$7:$B$9),"Q3","Q4")))</f>
        <v>Q4</v>
      </c>
      <c r="AW3" s="89" t="str">
        <f>IF(COLUMN(AW4)-2&lt;=Assumptions!$B$7,"Q1",IF(COLUMN(AW4)-2&lt;=SUM(Assumptions!$B$7:$B$8),"Q2",IF(COLUMN(AW4)-2&lt;=SUM(Assumptions!$B$7:$B$9),"Q3","Q4")))</f>
        <v>Q4</v>
      </c>
      <c r="AX3" s="89" t="str">
        <f>IF(COLUMN(AX4)-2&lt;=Assumptions!$B$7,"Q1",IF(COLUMN(AX4)-2&lt;=SUM(Assumptions!$B$7:$B$8),"Q2",IF(COLUMN(AX4)-2&lt;=SUM(Assumptions!$B$7:$B$9),"Q3","Q4")))</f>
        <v>Q4</v>
      </c>
      <c r="AY3" s="89" t="str">
        <f>IF(COLUMN(AY4)-2&lt;=Assumptions!$B$7,"Q1",IF(COLUMN(AY4)-2&lt;=SUM(Assumptions!$B$7:$B$8),"Q2",IF(COLUMN(AY4)-2&lt;=SUM(Assumptions!$B$7:$B$9),"Q3","Q4")))</f>
        <v>Q4</v>
      </c>
      <c r="AZ3" s="89" t="str">
        <f>IF(COLUMN(AZ4)-2&lt;=Assumptions!$B$7,"Q1",IF(COLUMN(AZ4)-2&lt;=SUM(Assumptions!$B$7:$B$8),"Q2",IF(COLUMN(AZ4)-2&lt;=SUM(Assumptions!$B$7:$B$9),"Q3","Q4")))</f>
        <v>Q4</v>
      </c>
      <c r="BA3" s="89" t="str">
        <f>IF(COLUMN(BA4)-2&lt;=Assumptions!$B$7,"Q1",IF(COLUMN(BA4)-2&lt;=SUM(Assumptions!$B$7:$B$8),"Q2",IF(COLUMN(BA4)-2&lt;=SUM(Assumptions!$B$7:$B$9),"Q3","Q4")))</f>
        <v>Q4</v>
      </c>
      <c r="BB3" s="89" t="str">
        <f>IF(COLUMN(BB4)-2&lt;=Assumptions!$B$7,"Q1",IF(COLUMN(BB4)-2&lt;=SUM(Assumptions!$B$7:$B$8),"Q2",IF(COLUMN(BB4)-2&lt;=SUM(Assumptions!$B$7:$B$9),"Q3","Q4")))</f>
        <v>Q4</v>
      </c>
      <c r="BC3" s="91" t="s">
        <v>101</v>
      </c>
      <c r="BD3" s="91" t="s">
        <v>102</v>
      </c>
      <c r="BE3" s="91" t="s">
        <v>103</v>
      </c>
      <c r="BF3" s="91" t="s">
        <v>104</v>
      </c>
    </row>
    <row r="4" spans="1:59" s="66" customFormat="1" ht="18" customHeight="1" x14ac:dyDescent="0.35">
      <c r="B4" s="67"/>
      <c r="C4" s="68">
        <f ca="1">IF(ISBLANK(Assumptions!$B$5)=TRUE,DATE(YEAR(TODAY()),MONTH(TODAY()),7),DATE(YEAR(Assumptions!$B$5),MONTH(Assumptions!$B$5),DAY(Assumptions!$B$5)+6))</f>
        <v>42435</v>
      </c>
      <c r="D4" s="68">
        <f ca="1">DATE(YEAR(OFFSET(D3,1,-1,1,1)),MONTH(OFFSET(D3,1,-1,1,1)),DAY(OFFSET(D3,1,-1,1,1))+7)</f>
        <v>42442</v>
      </c>
      <c r="E4" s="68">
        <f t="shared" ref="E4:BB4" ca="1" si="0">DATE(YEAR(OFFSET(E3,1,-1,1,1)),MONTH(OFFSET(E3,1,-1,1,1)),DAY(OFFSET(E3,1,-1,1,1))+7)</f>
        <v>42449</v>
      </c>
      <c r="F4" s="68">
        <f t="shared" ca="1" si="0"/>
        <v>42456</v>
      </c>
      <c r="G4" s="68">
        <f t="shared" ca="1" si="0"/>
        <v>42463</v>
      </c>
      <c r="H4" s="68">
        <f t="shared" ca="1" si="0"/>
        <v>42470</v>
      </c>
      <c r="I4" s="68">
        <f t="shared" ca="1" si="0"/>
        <v>42477</v>
      </c>
      <c r="J4" s="68">
        <f t="shared" ca="1" si="0"/>
        <v>42484</v>
      </c>
      <c r="K4" s="68">
        <f t="shared" ca="1" si="0"/>
        <v>42491</v>
      </c>
      <c r="L4" s="68">
        <f t="shared" ca="1" si="0"/>
        <v>42498</v>
      </c>
      <c r="M4" s="68">
        <f t="shared" ca="1" si="0"/>
        <v>42505</v>
      </c>
      <c r="N4" s="68">
        <f t="shared" ca="1" si="0"/>
        <v>42512</v>
      </c>
      <c r="O4" s="68">
        <f t="shared" ca="1" si="0"/>
        <v>42519</v>
      </c>
      <c r="P4" s="68">
        <f t="shared" ca="1" si="0"/>
        <v>42526</v>
      </c>
      <c r="Q4" s="68">
        <f t="shared" ca="1" si="0"/>
        <v>42533</v>
      </c>
      <c r="R4" s="68">
        <f t="shared" ca="1" si="0"/>
        <v>42540</v>
      </c>
      <c r="S4" s="68">
        <f t="shared" ca="1" si="0"/>
        <v>42547</v>
      </c>
      <c r="T4" s="68">
        <f t="shared" ca="1" si="0"/>
        <v>42554</v>
      </c>
      <c r="U4" s="68">
        <f t="shared" ca="1" si="0"/>
        <v>42561</v>
      </c>
      <c r="V4" s="68">
        <f t="shared" ca="1" si="0"/>
        <v>42568</v>
      </c>
      <c r="W4" s="68">
        <f t="shared" ca="1" si="0"/>
        <v>42575</v>
      </c>
      <c r="X4" s="68">
        <f t="shared" ca="1" si="0"/>
        <v>42582</v>
      </c>
      <c r="Y4" s="68">
        <f t="shared" ca="1" si="0"/>
        <v>42589</v>
      </c>
      <c r="Z4" s="68">
        <f t="shared" ca="1" si="0"/>
        <v>42596</v>
      </c>
      <c r="AA4" s="68">
        <f t="shared" ca="1" si="0"/>
        <v>42603</v>
      </c>
      <c r="AB4" s="68">
        <f t="shared" ca="1" si="0"/>
        <v>42610</v>
      </c>
      <c r="AC4" s="68">
        <f t="shared" ca="1" si="0"/>
        <v>42617</v>
      </c>
      <c r="AD4" s="68">
        <f t="shared" ca="1" si="0"/>
        <v>42624</v>
      </c>
      <c r="AE4" s="68">
        <f t="shared" ca="1" si="0"/>
        <v>42631</v>
      </c>
      <c r="AF4" s="68">
        <f t="shared" ca="1" si="0"/>
        <v>42638</v>
      </c>
      <c r="AG4" s="68">
        <f t="shared" ca="1" si="0"/>
        <v>42645</v>
      </c>
      <c r="AH4" s="68">
        <f t="shared" ca="1" si="0"/>
        <v>42652</v>
      </c>
      <c r="AI4" s="68">
        <f t="shared" ca="1" si="0"/>
        <v>42659</v>
      </c>
      <c r="AJ4" s="68">
        <f t="shared" ca="1" si="0"/>
        <v>42666</v>
      </c>
      <c r="AK4" s="68">
        <f t="shared" ca="1" si="0"/>
        <v>42673</v>
      </c>
      <c r="AL4" s="68">
        <f t="shared" ca="1" si="0"/>
        <v>42680</v>
      </c>
      <c r="AM4" s="68">
        <f t="shared" ca="1" si="0"/>
        <v>42687</v>
      </c>
      <c r="AN4" s="68">
        <f t="shared" ca="1" si="0"/>
        <v>42694</v>
      </c>
      <c r="AO4" s="68">
        <f t="shared" ca="1" si="0"/>
        <v>42701</v>
      </c>
      <c r="AP4" s="68">
        <f t="shared" ca="1" si="0"/>
        <v>42708</v>
      </c>
      <c r="AQ4" s="68">
        <f t="shared" ca="1" si="0"/>
        <v>42715</v>
      </c>
      <c r="AR4" s="68">
        <f t="shared" ca="1" si="0"/>
        <v>42722</v>
      </c>
      <c r="AS4" s="68">
        <f t="shared" ca="1" si="0"/>
        <v>42729</v>
      </c>
      <c r="AT4" s="68">
        <f t="shared" ca="1" si="0"/>
        <v>42736</v>
      </c>
      <c r="AU4" s="68">
        <f t="shared" ca="1" si="0"/>
        <v>42743</v>
      </c>
      <c r="AV4" s="68">
        <f t="shared" ca="1" si="0"/>
        <v>42750</v>
      </c>
      <c r="AW4" s="68">
        <f t="shared" ca="1" si="0"/>
        <v>42757</v>
      </c>
      <c r="AX4" s="68">
        <f t="shared" ca="1" si="0"/>
        <v>42764</v>
      </c>
      <c r="AY4" s="68">
        <f t="shared" ca="1" si="0"/>
        <v>42771</v>
      </c>
      <c r="AZ4" s="68">
        <f t="shared" ca="1" si="0"/>
        <v>42778</v>
      </c>
      <c r="BA4" s="68">
        <f t="shared" ca="1" si="0"/>
        <v>42785</v>
      </c>
      <c r="BB4" s="68">
        <f t="shared" ca="1" si="0"/>
        <v>42792</v>
      </c>
      <c r="BC4" s="69" t="s">
        <v>87</v>
      </c>
      <c r="BD4" s="69" t="s">
        <v>88</v>
      </c>
      <c r="BE4" s="69" t="s">
        <v>89</v>
      </c>
      <c r="BF4" s="69" t="s">
        <v>90</v>
      </c>
      <c r="BG4" s="69" t="str">
        <f ca="1">"Total "&amp;YEAR(OFFSET($BC$4,0,-1,1,1))</f>
        <v>Total 2017</v>
      </c>
    </row>
    <row r="5" spans="1:59" s="3" customFormat="1" ht="15" customHeight="1" x14ac:dyDescent="0.35">
      <c r="A5" s="20"/>
      <c r="B5" s="21" t="s">
        <v>1</v>
      </c>
      <c r="C5" s="22">
        <v>80000</v>
      </c>
      <c r="D5" s="23">
        <v>65000</v>
      </c>
      <c r="E5" s="23">
        <v>75000</v>
      </c>
      <c r="F5" s="23">
        <v>85000</v>
      </c>
      <c r="G5" s="23">
        <v>80000</v>
      </c>
      <c r="H5" s="23">
        <v>78500</v>
      </c>
      <c r="I5" s="23">
        <v>69250</v>
      </c>
      <c r="J5" s="23">
        <v>80000</v>
      </c>
      <c r="K5" s="23">
        <v>82000</v>
      </c>
      <c r="L5" s="23">
        <v>85000</v>
      </c>
      <c r="M5" s="23">
        <v>83000</v>
      </c>
      <c r="N5" s="23">
        <v>80000</v>
      </c>
      <c r="O5" s="23">
        <v>75000</v>
      </c>
      <c r="P5" s="23">
        <v>90000</v>
      </c>
      <c r="Q5" s="23">
        <v>85000</v>
      </c>
      <c r="R5" s="23">
        <v>82500</v>
      </c>
      <c r="S5" s="23">
        <v>83400</v>
      </c>
      <c r="T5" s="23">
        <v>81000</v>
      </c>
      <c r="U5" s="23">
        <v>84300</v>
      </c>
      <c r="V5" s="23">
        <v>90000</v>
      </c>
      <c r="W5" s="23">
        <v>86000</v>
      </c>
      <c r="X5" s="23">
        <v>87350</v>
      </c>
      <c r="Y5" s="23">
        <v>82420</v>
      </c>
      <c r="Z5" s="23">
        <v>95680</v>
      </c>
      <c r="AA5" s="23">
        <v>90000</v>
      </c>
      <c r="AB5" s="23">
        <v>93000</v>
      </c>
      <c r="AC5" s="23">
        <v>84600</v>
      </c>
      <c r="AD5" s="23">
        <v>93500</v>
      </c>
      <c r="AE5" s="23">
        <v>98000</v>
      </c>
      <c r="AF5" s="23">
        <v>101200</v>
      </c>
      <c r="AG5" s="23">
        <v>105400</v>
      </c>
      <c r="AH5" s="23">
        <v>108600</v>
      </c>
      <c r="AI5" s="23">
        <v>98900</v>
      </c>
      <c r="AJ5" s="23">
        <v>99600</v>
      </c>
      <c r="AK5" s="23">
        <v>102650</v>
      </c>
      <c r="AL5" s="23">
        <v>103500</v>
      </c>
      <c r="AM5" s="23">
        <v>104700</v>
      </c>
      <c r="AN5" s="23">
        <v>99820</v>
      </c>
      <c r="AO5" s="23">
        <v>89540</v>
      </c>
      <c r="AP5" s="23">
        <v>92710</v>
      </c>
      <c r="AQ5" s="23">
        <v>82600</v>
      </c>
      <c r="AR5" s="23">
        <v>72100</v>
      </c>
      <c r="AS5" s="23">
        <v>66300</v>
      </c>
      <c r="AT5" s="23">
        <v>55800</v>
      </c>
      <c r="AU5" s="23">
        <v>50100</v>
      </c>
      <c r="AV5" s="23">
        <v>89300</v>
      </c>
      <c r="AW5" s="23">
        <v>105780</v>
      </c>
      <c r="AX5" s="23">
        <v>105780</v>
      </c>
      <c r="AY5" s="23">
        <v>110200</v>
      </c>
      <c r="AZ5" s="23">
        <v>108900</v>
      </c>
      <c r="BA5" s="23">
        <v>99700</v>
      </c>
      <c r="BB5" s="23">
        <v>104440</v>
      </c>
      <c r="BC5" s="23">
        <f ca="1">SUM(OFFSET($B5,0,1,1,Assumptions!$B$7))</f>
        <v>1017750</v>
      </c>
      <c r="BD5" s="23">
        <f ca="1">SUM(OFFSET($B5,0,1+Assumptions!$B$7,1,SUM(Assumptions!$B$8)))</f>
        <v>1130650</v>
      </c>
      <c r="BE5" s="23">
        <f ca="1">SUM(OFFSET($B5,0,1+SUM(Assumptions!$B$7:$B$8),1,SUM(Assumptions!$B$9)))</f>
        <v>1290010</v>
      </c>
      <c r="BF5" s="23">
        <f ca="1">SUM(OFFSET($B5,0,1+SUM(Assumptions!$B$7:$B$9),1,SUM(Assumptions!$B$10)))</f>
        <v>1143710</v>
      </c>
      <c r="BG5" s="23">
        <f ca="1">SUM(BC5:BF5)</f>
        <v>4582120</v>
      </c>
    </row>
    <row r="6" spans="1:59" s="8" customFormat="1" ht="15" customHeight="1" x14ac:dyDescent="0.3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1:59" s="3" customFormat="1" ht="15" customHeight="1" x14ac:dyDescent="0.35">
      <c r="B7" s="21" t="s">
        <v>2</v>
      </c>
      <c r="C7" s="26">
        <f t="shared" ref="C7:BB7" si="1">SUM(C5,-C9)</f>
        <v>52000</v>
      </c>
      <c r="D7" s="26">
        <f t="shared" si="1"/>
        <v>41275</v>
      </c>
      <c r="E7" s="26">
        <f>SUM(E5,-E9)</f>
        <v>47625</v>
      </c>
      <c r="F7" s="26">
        <f t="shared" si="1"/>
        <v>53975</v>
      </c>
      <c r="G7" s="26">
        <f t="shared" si="1"/>
        <v>50560</v>
      </c>
      <c r="H7" s="26">
        <f t="shared" si="1"/>
        <v>49612</v>
      </c>
      <c r="I7" s="26">
        <f t="shared" si="1"/>
        <v>43766</v>
      </c>
      <c r="J7" s="26">
        <f t="shared" si="1"/>
        <v>50560</v>
      </c>
      <c r="K7" s="26">
        <f t="shared" si="1"/>
        <v>51824</v>
      </c>
      <c r="L7" s="26">
        <f t="shared" si="1"/>
        <v>53720</v>
      </c>
      <c r="M7" s="26">
        <f t="shared" si="1"/>
        <v>52456</v>
      </c>
      <c r="N7" s="26">
        <f t="shared" si="1"/>
        <v>50560</v>
      </c>
      <c r="O7" s="26">
        <f t="shared" si="1"/>
        <v>47025</v>
      </c>
      <c r="P7" s="26">
        <f t="shared" si="1"/>
        <v>56430</v>
      </c>
      <c r="Q7" s="26">
        <f>SUM(Q5,-Q9)</f>
        <v>53295</v>
      </c>
      <c r="R7" s="26">
        <f t="shared" si="1"/>
        <v>51727.5</v>
      </c>
      <c r="S7" s="26">
        <f t="shared" si="1"/>
        <v>52291.8</v>
      </c>
      <c r="T7" s="26">
        <f t="shared" si="1"/>
        <v>50787</v>
      </c>
      <c r="U7" s="26">
        <f t="shared" si="1"/>
        <v>52856.1</v>
      </c>
      <c r="V7" s="26">
        <f t="shared" si="1"/>
        <v>56430</v>
      </c>
      <c r="W7" s="26">
        <f t="shared" si="1"/>
        <v>53922</v>
      </c>
      <c r="X7" s="26">
        <f t="shared" si="1"/>
        <v>54768.45</v>
      </c>
      <c r="Y7" s="26">
        <f t="shared" si="1"/>
        <v>51677.34</v>
      </c>
      <c r="Z7" s="26">
        <f t="shared" si="1"/>
        <v>57982.080000000002</v>
      </c>
      <c r="AA7" s="26">
        <f t="shared" si="1"/>
        <v>54540</v>
      </c>
      <c r="AB7" s="26">
        <f t="shared" si="1"/>
        <v>56358</v>
      </c>
      <c r="AC7" s="26">
        <f t="shared" si="1"/>
        <v>51267.6</v>
      </c>
      <c r="AD7" s="26">
        <f>SUM(AD5,-AD9)</f>
        <v>56661</v>
      </c>
      <c r="AE7" s="26">
        <f t="shared" si="1"/>
        <v>59388</v>
      </c>
      <c r="AF7" s="26">
        <f t="shared" si="1"/>
        <v>61327.199999999997</v>
      </c>
      <c r="AG7" s="26">
        <f t="shared" si="1"/>
        <v>63872.4</v>
      </c>
      <c r="AH7" s="26">
        <f t="shared" si="1"/>
        <v>65811.600000000006</v>
      </c>
      <c r="AI7" s="26">
        <f t="shared" si="1"/>
        <v>59537.799999999996</v>
      </c>
      <c r="AJ7" s="26">
        <f t="shared" si="1"/>
        <v>59959.199999999997</v>
      </c>
      <c r="AK7" s="26">
        <f t="shared" si="1"/>
        <v>61795.299999999996</v>
      </c>
      <c r="AL7" s="26">
        <f t="shared" si="1"/>
        <v>62307</v>
      </c>
      <c r="AM7" s="26">
        <f t="shared" si="1"/>
        <v>63029.4</v>
      </c>
      <c r="AN7" s="26">
        <f t="shared" si="1"/>
        <v>60091.64</v>
      </c>
      <c r="AO7" s="26">
        <f t="shared" si="1"/>
        <v>53903.08</v>
      </c>
      <c r="AP7" s="26">
        <f t="shared" si="1"/>
        <v>55811.42</v>
      </c>
      <c r="AQ7" s="26">
        <f t="shared" si="1"/>
        <v>49147</v>
      </c>
      <c r="AR7" s="26">
        <f t="shared" si="1"/>
        <v>42899.5</v>
      </c>
      <c r="AS7" s="26">
        <f t="shared" si="1"/>
        <v>39448.5</v>
      </c>
      <c r="AT7" s="26">
        <f t="shared" si="1"/>
        <v>33201</v>
      </c>
      <c r="AU7" s="26">
        <f t="shared" si="1"/>
        <v>29809.5</v>
      </c>
      <c r="AV7" s="26">
        <f t="shared" si="1"/>
        <v>53133.5</v>
      </c>
      <c r="AW7" s="26">
        <f t="shared" si="1"/>
        <v>62939.1</v>
      </c>
      <c r="AX7" s="26">
        <f t="shared" si="1"/>
        <v>62939.1</v>
      </c>
      <c r="AY7" s="26">
        <f t="shared" si="1"/>
        <v>65569</v>
      </c>
      <c r="AZ7" s="26">
        <f t="shared" si="1"/>
        <v>64795.5</v>
      </c>
      <c r="BA7" s="26">
        <f t="shared" si="1"/>
        <v>59321.5</v>
      </c>
      <c r="BB7" s="26">
        <f t="shared" si="1"/>
        <v>62141.799999999996</v>
      </c>
      <c r="BC7" s="26">
        <f ca="1">SUM(OFFSET($B7,0,1,1,Assumptions!$B$7))</f>
        <v>644958</v>
      </c>
      <c r="BD7" s="26">
        <f ca="1">SUM(OFFSET($B7,0,1+Assumptions!$B$7,1,SUM(Assumptions!$B$8)))</f>
        <v>703065.2699999999</v>
      </c>
      <c r="BE7" s="26">
        <f ca="1">SUM(OFFSET($B7,0,1+SUM(Assumptions!$B$7:$B$8),1,SUM(Assumptions!$B$9)))</f>
        <v>778951.22000000009</v>
      </c>
      <c r="BF7" s="26">
        <f ca="1">SUM(OFFSET($B7,0,1+SUM(Assumptions!$B$7:$B$9),1,SUM(Assumptions!$B$10)))</f>
        <v>681156.41999999993</v>
      </c>
      <c r="BG7" s="26">
        <f ca="1">SUM(BC7:BF7)</f>
        <v>2808130.91</v>
      </c>
    </row>
    <row r="8" spans="1:59" s="8" customFormat="1" ht="15" customHeight="1" x14ac:dyDescent="0.3"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</row>
    <row r="9" spans="1:59" s="3" customFormat="1" ht="15" customHeight="1" x14ac:dyDescent="0.35">
      <c r="B9" s="21" t="s">
        <v>3</v>
      </c>
      <c r="C9" s="26">
        <f t="shared" ref="C9:BB9" si="2">C5*C10</f>
        <v>28000</v>
      </c>
      <c r="D9" s="26">
        <f t="shared" si="2"/>
        <v>23725</v>
      </c>
      <c r="E9" s="26">
        <f>E5*E10</f>
        <v>27375</v>
      </c>
      <c r="F9" s="26">
        <f t="shared" si="2"/>
        <v>31025</v>
      </c>
      <c r="G9" s="26">
        <f t="shared" si="2"/>
        <v>29440</v>
      </c>
      <c r="H9" s="26">
        <f t="shared" si="2"/>
        <v>28888</v>
      </c>
      <c r="I9" s="26">
        <f t="shared" si="2"/>
        <v>25484</v>
      </c>
      <c r="J9" s="26">
        <f t="shared" si="2"/>
        <v>29440</v>
      </c>
      <c r="K9" s="26">
        <f t="shared" si="2"/>
        <v>30176</v>
      </c>
      <c r="L9" s="26">
        <f t="shared" si="2"/>
        <v>31280</v>
      </c>
      <c r="M9" s="26">
        <f t="shared" si="2"/>
        <v>30544</v>
      </c>
      <c r="N9" s="26">
        <f t="shared" si="2"/>
        <v>29440</v>
      </c>
      <c r="O9" s="26">
        <f t="shared" si="2"/>
        <v>27975</v>
      </c>
      <c r="P9" s="26">
        <f t="shared" si="2"/>
        <v>33570</v>
      </c>
      <c r="Q9" s="26">
        <f>Q5*Q10</f>
        <v>31705</v>
      </c>
      <c r="R9" s="26">
        <f t="shared" si="2"/>
        <v>30772.5</v>
      </c>
      <c r="S9" s="26">
        <f t="shared" si="2"/>
        <v>31108.2</v>
      </c>
      <c r="T9" s="26">
        <f t="shared" si="2"/>
        <v>30213</v>
      </c>
      <c r="U9" s="26">
        <f t="shared" si="2"/>
        <v>31443.9</v>
      </c>
      <c r="V9" s="26">
        <f t="shared" si="2"/>
        <v>33570</v>
      </c>
      <c r="W9" s="26">
        <f t="shared" si="2"/>
        <v>32078</v>
      </c>
      <c r="X9" s="26">
        <f t="shared" si="2"/>
        <v>32581.55</v>
      </c>
      <c r="Y9" s="26">
        <f t="shared" si="2"/>
        <v>30742.66</v>
      </c>
      <c r="Z9" s="26">
        <f t="shared" si="2"/>
        <v>37697.919999999998</v>
      </c>
      <c r="AA9" s="26">
        <f t="shared" si="2"/>
        <v>35460</v>
      </c>
      <c r="AB9" s="26">
        <f t="shared" si="2"/>
        <v>36642</v>
      </c>
      <c r="AC9" s="26">
        <f t="shared" si="2"/>
        <v>33332.400000000001</v>
      </c>
      <c r="AD9" s="26">
        <f>AD5*AD10</f>
        <v>36839</v>
      </c>
      <c r="AE9" s="26">
        <f t="shared" si="2"/>
        <v>38612</v>
      </c>
      <c r="AF9" s="26">
        <f t="shared" si="2"/>
        <v>39872.800000000003</v>
      </c>
      <c r="AG9" s="26">
        <f t="shared" si="2"/>
        <v>41527.599999999999</v>
      </c>
      <c r="AH9" s="26">
        <f t="shared" si="2"/>
        <v>42788.4</v>
      </c>
      <c r="AI9" s="26">
        <f t="shared" si="2"/>
        <v>39362.200000000004</v>
      </c>
      <c r="AJ9" s="26">
        <f t="shared" si="2"/>
        <v>39640.800000000003</v>
      </c>
      <c r="AK9" s="26">
        <f t="shared" si="2"/>
        <v>40854.700000000004</v>
      </c>
      <c r="AL9" s="26">
        <f t="shared" si="2"/>
        <v>41193</v>
      </c>
      <c r="AM9" s="26">
        <f t="shared" si="2"/>
        <v>41670.6</v>
      </c>
      <c r="AN9" s="26">
        <f t="shared" si="2"/>
        <v>39728.36</v>
      </c>
      <c r="AO9" s="26">
        <f t="shared" si="2"/>
        <v>35636.92</v>
      </c>
      <c r="AP9" s="26">
        <f t="shared" si="2"/>
        <v>36898.58</v>
      </c>
      <c r="AQ9" s="26">
        <f t="shared" si="2"/>
        <v>33453</v>
      </c>
      <c r="AR9" s="26">
        <f t="shared" si="2"/>
        <v>29200.500000000004</v>
      </c>
      <c r="AS9" s="26">
        <f t="shared" si="2"/>
        <v>26851.5</v>
      </c>
      <c r="AT9" s="26">
        <f t="shared" si="2"/>
        <v>22599</v>
      </c>
      <c r="AU9" s="26">
        <f t="shared" si="2"/>
        <v>20290.5</v>
      </c>
      <c r="AV9" s="26">
        <f t="shared" si="2"/>
        <v>36166.5</v>
      </c>
      <c r="AW9" s="26">
        <f t="shared" si="2"/>
        <v>42840.9</v>
      </c>
      <c r="AX9" s="26">
        <f t="shared" si="2"/>
        <v>42840.9</v>
      </c>
      <c r="AY9" s="26">
        <f t="shared" si="2"/>
        <v>44631</v>
      </c>
      <c r="AZ9" s="26">
        <f t="shared" si="2"/>
        <v>44104.5</v>
      </c>
      <c r="BA9" s="26">
        <f t="shared" si="2"/>
        <v>40378.5</v>
      </c>
      <c r="BB9" s="26">
        <f t="shared" si="2"/>
        <v>42298.200000000004</v>
      </c>
      <c r="BC9" s="26">
        <f ca="1">SUM(OFFSET($B9,0,1,1,Assumptions!$B$7))</f>
        <v>372792</v>
      </c>
      <c r="BD9" s="26">
        <f ca="1">SUM(OFFSET($B9,0,1+Assumptions!$B$7,1,SUM(Assumptions!$B$8)))</f>
        <v>427584.73</v>
      </c>
      <c r="BE9" s="26">
        <f ca="1">SUM(OFFSET($B9,0,1+SUM(Assumptions!$B$7:$B$8),1,SUM(Assumptions!$B$9)))</f>
        <v>511058.77999999997</v>
      </c>
      <c r="BF9" s="26">
        <f ca="1">SUM(OFFSET($B9,0,1+SUM(Assumptions!$B$7:$B$9),1,SUM(Assumptions!$B$10)))</f>
        <v>462553.58</v>
      </c>
      <c r="BG9" s="26">
        <f ca="1">SUM(BC9:BF9)</f>
        <v>1773989.09</v>
      </c>
    </row>
    <row r="10" spans="1:59" s="27" customFormat="1" ht="15" customHeight="1" x14ac:dyDescent="0.35">
      <c r="A10" s="20"/>
      <c r="B10" s="27" t="s">
        <v>4</v>
      </c>
      <c r="C10" s="28">
        <v>0.35</v>
      </c>
      <c r="D10" s="28">
        <v>0.36499999999999999</v>
      </c>
      <c r="E10" s="28">
        <v>0.36499999999999999</v>
      </c>
      <c r="F10" s="28">
        <v>0.36499999999999999</v>
      </c>
      <c r="G10" s="29">
        <v>0.36799999999999999</v>
      </c>
      <c r="H10" s="29">
        <v>0.36799999999999999</v>
      </c>
      <c r="I10" s="29">
        <v>0.36799999999999999</v>
      </c>
      <c r="J10" s="29">
        <v>0.36799999999999999</v>
      </c>
      <c r="K10" s="29">
        <v>0.36799999999999999</v>
      </c>
      <c r="L10" s="29">
        <v>0.36799999999999999</v>
      </c>
      <c r="M10" s="29">
        <v>0.36799999999999999</v>
      </c>
      <c r="N10" s="29">
        <v>0.36799999999999999</v>
      </c>
      <c r="O10" s="29">
        <v>0.373</v>
      </c>
      <c r="P10" s="29">
        <v>0.373</v>
      </c>
      <c r="Q10" s="29">
        <v>0.373</v>
      </c>
      <c r="R10" s="29">
        <v>0.373</v>
      </c>
      <c r="S10" s="29">
        <v>0.373</v>
      </c>
      <c r="T10" s="29">
        <v>0.373</v>
      </c>
      <c r="U10" s="29">
        <v>0.373</v>
      </c>
      <c r="V10" s="29">
        <v>0.373</v>
      </c>
      <c r="W10" s="29">
        <v>0.373</v>
      </c>
      <c r="X10" s="29">
        <v>0.373</v>
      </c>
      <c r="Y10" s="29">
        <v>0.373</v>
      </c>
      <c r="Z10" s="29">
        <v>0.39400000000000002</v>
      </c>
      <c r="AA10" s="29">
        <v>0.39400000000000002</v>
      </c>
      <c r="AB10" s="29">
        <v>0.39400000000000002</v>
      </c>
      <c r="AC10" s="29">
        <v>0.39400000000000002</v>
      </c>
      <c r="AD10" s="29">
        <v>0.39400000000000002</v>
      </c>
      <c r="AE10" s="29">
        <v>0.39400000000000002</v>
      </c>
      <c r="AF10" s="29">
        <v>0.39400000000000002</v>
      </c>
      <c r="AG10" s="29">
        <v>0.39400000000000002</v>
      </c>
      <c r="AH10" s="29">
        <v>0.39400000000000002</v>
      </c>
      <c r="AI10" s="29">
        <v>0.39800000000000002</v>
      </c>
      <c r="AJ10" s="29">
        <v>0.39800000000000002</v>
      </c>
      <c r="AK10" s="29">
        <v>0.39800000000000002</v>
      </c>
      <c r="AL10" s="29">
        <v>0.39800000000000002</v>
      </c>
      <c r="AM10" s="29">
        <v>0.39800000000000002</v>
      </c>
      <c r="AN10" s="29">
        <v>0.39800000000000002</v>
      </c>
      <c r="AO10" s="29">
        <v>0.39800000000000002</v>
      </c>
      <c r="AP10" s="29">
        <v>0.39800000000000002</v>
      </c>
      <c r="AQ10" s="29">
        <v>0.40500000000000003</v>
      </c>
      <c r="AR10" s="29">
        <v>0.40500000000000003</v>
      </c>
      <c r="AS10" s="29">
        <v>0.40500000000000003</v>
      </c>
      <c r="AT10" s="29">
        <v>0.40500000000000003</v>
      </c>
      <c r="AU10" s="29">
        <v>0.40500000000000003</v>
      </c>
      <c r="AV10" s="29">
        <v>0.40500000000000003</v>
      </c>
      <c r="AW10" s="29">
        <v>0.40500000000000003</v>
      </c>
      <c r="AX10" s="29">
        <v>0.40500000000000003</v>
      </c>
      <c r="AY10" s="29">
        <v>0.40500000000000003</v>
      </c>
      <c r="AZ10" s="29">
        <v>0.40500000000000003</v>
      </c>
      <c r="BA10" s="29">
        <v>0.40500000000000003</v>
      </c>
      <c r="BB10" s="29">
        <v>0.40500000000000003</v>
      </c>
      <c r="BC10" s="29">
        <f ca="1">IF(BC5=0,0,BC9/BC5)</f>
        <v>0.36629034635224761</v>
      </c>
      <c r="BD10" s="29">
        <f ca="1">IF(BD5=0,0,BD9/BD5)</f>
        <v>0.37817603148631318</v>
      </c>
      <c r="BE10" s="29">
        <f ca="1">IF(BE5=0,0,BE9/BE5)</f>
        <v>0.39616652584088491</v>
      </c>
      <c r="BF10" s="29">
        <f ca="1">IF(BF5=0,0,BF9/BF5)</f>
        <v>0.40443257469113675</v>
      </c>
      <c r="BG10" s="29">
        <f ca="1">IF(BG5=0,0,BG9/BG5)</f>
        <v>0.38715465548697986</v>
      </c>
    </row>
    <row r="11" spans="1:59" ht="15" customHeight="1" x14ac:dyDescent="0.3">
      <c r="C11" s="25"/>
      <c r="D11" s="25"/>
      <c r="E11" s="25"/>
      <c r="F11" s="25"/>
      <c r="G11" s="25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ht="15" customHeight="1" x14ac:dyDescent="0.35">
      <c r="B12" s="2" t="s">
        <v>54</v>
      </c>
      <c r="C12" s="25"/>
      <c r="D12" s="25"/>
      <c r="E12" s="25"/>
      <c r="F12" s="25"/>
      <c r="G12" s="25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s="8" customFormat="1" ht="15" customHeight="1" x14ac:dyDescent="0.35">
      <c r="A13" s="20"/>
      <c r="B13" s="24" t="s">
        <v>5</v>
      </c>
      <c r="C13" s="25">
        <v>0</v>
      </c>
      <c r="D13" s="25">
        <v>0</v>
      </c>
      <c r="E13" s="25">
        <v>0</v>
      </c>
      <c r="F13" s="25">
        <v>0</v>
      </c>
      <c r="G13" s="25">
        <v>2000</v>
      </c>
      <c r="H13" s="25">
        <v>0</v>
      </c>
      <c r="I13" s="25">
        <v>0</v>
      </c>
      <c r="J13" s="25">
        <v>0</v>
      </c>
      <c r="K13" s="25">
        <v>2000</v>
      </c>
      <c r="L13" s="25">
        <v>0</v>
      </c>
      <c r="M13" s="25">
        <v>0</v>
      </c>
      <c r="N13" s="25">
        <v>0</v>
      </c>
      <c r="O13" s="25">
        <v>2120</v>
      </c>
      <c r="P13" s="25">
        <v>0</v>
      </c>
      <c r="Q13" s="25">
        <v>0</v>
      </c>
      <c r="R13" s="25">
        <v>0</v>
      </c>
      <c r="S13" s="25">
        <v>0</v>
      </c>
      <c r="T13" s="25">
        <v>2120</v>
      </c>
      <c r="U13" s="25">
        <v>0</v>
      </c>
      <c r="V13" s="25">
        <v>0</v>
      </c>
      <c r="W13" s="25">
        <v>0</v>
      </c>
      <c r="X13" s="25">
        <v>2120</v>
      </c>
      <c r="Y13" s="25">
        <v>0</v>
      </c>
      <c r="Z13" s="25">
        <v>0</v>
      </c>
      <c r="AA13" s="25">
        <v>0</v>
      </c>
      <c r="AB13" s="25">
        <v>2120</v>
      </c>
      <c r="AC13" s="25">
        <v>0</v>
      </c>
      <c r="AD13" s="25">
        <v>0</v>
      </c>
      <c r="AE13" s="25">
        <v>0</v>
      </c>
      <c r="AF13" s="25">
        <v>0</v>
      </c>
      <c r="AG13" s="25">
        <v>2120</v>
      </c>
      <c r="AH13" s="25">
        <v>0</v>
      </c>
      <c r="AI13" s="25">
        <v>0</v>
      </c>
      <c r="AJ13" s="25">
        <v>0</v>
      </c>
      <c r="AK13" s="25">
        <v>2120</v>
      </c>
      <c r="AL13" s="25">
        <v>0</v>
      </c>
      <c r="AM13" s="25">
        <v>0</v>
      </c>
      <c r="AN13" s="25">
        <v>0</v>
      </c>
      <c r="AO13" s="25">
        <v>2120</v>
      </c>
      <c r="AP13" s="25">
        <v>0</v>
      </c>
      <c r="AQ13" s="25">
        <v>0</v>
      </c>
      <c r="AR13" s="25">
        <v>0</v>
      </c>
      <c r="AS13" s="25">
        <v>0</v>
      </c>
      <c r="AT13" s="25">
        <v>2120</v>
      </c>
      <c r="AU13" s="25">
        <v>0</v>
      </c>
      <c r="AV13" s="25">
        <v>0</v>
      </c>
      <c r="AW13" s="25">
        <v>0</v>
      </c>
      <c r="AX13" s="25">
        <v>2120</v>
      </c>
      <c r="AY13" s="25">
        <v>0</v>
      </c>
      <c r="AZ13" s="25">
        <v>0</v>
      </c>
      <c r="BA13" s="25">
        <v>0</v>
      </c>
      <c r="BB13" s="25">
        <v>2120</v>
      </c>
      <c r="BC13" s="26">
        <f ca="1">SUM(OFFSET($B13,0,1,1,Assumptions!$B$7))</f>
        <v>6120</v>
      </c>
      <c r="BD13" s="26">
        <f ca="1">SUM(OFFSET($B13,0,1+Assumptions!$B$7,1,SUM(Assumptions!$B$8)))</f>
        <v>6360</v>
      </c>
      <c r="BE13" s="26">
        <f ca="1">SUM(OFFSET($B13,0,1+SUM(Assumptions!$B$7:$B$8),1,SUM(Assumptions!$B$9)))</f>
        <v>6360</v>
      </c>
      <c r="BF13" s="26">
        <f ca="1">SUM(OFFSET($B13,0,1+SUM(Assumptions!$B$7:$B$9),1,SUM(Assumptions!$B$10)))</f>
        <v>6360</v>
      </c>
      <c r="BG13" s="26">
        <f t="shared" ref="BG13:BG35" ca="1" si="3">SUM(BC13:BF13)</f>
        <v>25200</v>
      </c>
    </row>
    <row r="14" spans="1:59" s="8" customFormat="1" ht="15" customHeight="1" x14ac:dyDescent="0.35">
      <c r="A14" s="20"/>
      <c r="B14" s="24" t="s">
        <v>18</v>
      </c>
      <c r="C14" s="25">
        <v>0</v>
      </c>
      <c r="D14" s="25">
        <v>0</v>
      </c>
      <c r="E14" s="25">
        <v>0</v>
      </c>
      <c r="F14" s="25">
        <v>0</v>
      </c>
      <c r="G14" s="25">
        <v>3800</v>
      </c>
      <c r="H14" s="25">
        <v>0</v>
      </c>
      <c r="I14" s="25">
        <v>0</v>
      </c>
      <c r="J14" s="25">
        <v>0</v>
      </c>
      <c r="K14" s="25">
        <v>6800</v>
      </c>
      <c r="L14" s="25">
        <v>0</v>
      </c>
      <c r="M14" s="25">
        <v>0</v>
      </c>
      <c r="N14" s="25">
        <v>0</v>
      </c>
      <c r="O14" s="25">
        <v>23500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7000</v>
      </c>
      <c r="V14" s="25">
        <v>0</v>
      </c>
      <c r="W14" s="25">
        <v>0</v>
      </c>
      <c r="X14" s="25">
        <v>6500</v>
      </c>
      <c r="Y14" s="25">
        <v>0</v>
      </c>
      <c r="Z14" s="25">
        <v>0</v>
      </c>
      <c r="AA14" s="25">
        <v>0</v>
      </c>
      <c r="AB14" s="25">
        <v>15000</v>
      </c>
      <c r="AC14" s="25">
        <v>0</v>
      </c>
      <c r="AD14" s="25">
        <v>0</v>
      </c>
      <c r="AE14" s="25">
        <v>0</v>
      </c>
      <c r="AF14" s="25">
        <v>0</v>
      </c>
      <c r="AG14" s="25">
        <v>3000</v>
      </c>
      <c r="AH14" s="25">
        <v>0</v>
      </c>
      <c r="AI14" s="25">
        <v>0</v>
      </c>
      <c r="AJ14" s="25">
        <v>0</v>
      </c>
      <c r="AK14" s="25">
        <v>10200</v>
      </c>
      <c r="AL14" s="25">
        <v>0</v>
      </c>
      <c r="AM14" s="25">
        <v>0</v>
      </c>
      <c r="AN14" s="25">
        <v>0</v>
      </c>
      <c r="AO14" s="25">
        <v>25300</v>
      </c>
      <c r="AP14" s="25">
        <v>0</v>
      </c>
      <c r="AQ14" s="25">
        <v>0</v>
      </c>
      <c r="AR14" s="25">
        <v>0</v>
      </c>
      <c r="AS14" s="25">
        <v>0</v>
      </c>
      <c r="AT14" s="25">
        <v>3050</v>
      </c>
      <c r="AU14" s="25">
        <v>0</v>
      </c>
      <c r="AV14" s="25">
        <v>0</v>
      </c>
      <c r="AW14" s="25">
        <v>0</v>
      </c>
      <c r="AX14" s="25">
        <v>10100</v>
      </c>
      <c r="AY14" s="25">
        <v>0</v>
      </c>
      <c r="AZ14" s="25">
        <v>0</v>
      </c>
      <c r="BA14" s="25">
        <v>0</v>
      </c>
      <c r="BB14" s="25">
        <v>18300</v>
      </c>
      <c r="BC14" s="26">
        <f ca="1">SUM(OFFSET($B14,0,1,1,Assumptions!$B$7))</f>
        <v>34100</v>
      </c>
      <c r="BD14" s="26">
        <f ca="1">SUM(OFFSET($B14,0,1+Assumptions!$B$7,1,SUM(Assumptions!$B$8)))</f>
        <v>28500</v>
      </c>
      <c r="BE14" s="26">
        <f ca="1">SUM(OFFSET($B14,0,1+SUM(Assumptions!$B$7:$B$8),1,SUM(Assumptions!$B$9)))</f>
        <v>38500</v>
      </c>
      <c r="BF14" s="26">
        <f ca="1">SUM(OFFSET($B14,0,1+SUM(Assumptions!$B$7:$B$9),1,SUM(Assumptions!$B$10)))</f>
        <v>31450</v>
      </c>
      <c r="BG14" s="26">
        <f t="shared" ca="1" si="3"/>
        <v>132550</v>
      </c>
    </row>
    <row r="15" spans="1:59" s="8" customFormat="1" ht="15" customHeight="1" x14ac:dyDescent="0.35">
      <c r="A15" s="20"/>
      <c r="B15" s="24" t="s">
        <v>6</v>
      </c>
      <c r="C15" s="25">
        <v>0</v>
      </c>
      <c r="D15" s="25">
        <v>0</v>
      </c>
      <c r="E15" s="25">
        <v>0</v>
      </c>
      <c r="F15" s="25">
        <v>0</v>
      </c>
      <c r="G15" s="25">
        <v>260</v>
      </c>
      <c r="H15" s="25">
        <v>0</v>
      </c>
      <c r="I15" s="25">
        <v>0</v>
      </c>
      <c r="J15" s="25">
        <v>0</v>
      </c>
      <c r="K15" s="25">
        <v>270</v>
      </c>
      <c r="L15" s="25">
        <v>0</v>
      </c>
      <c r="M15" s="25">
        <v>0</v>
      </c>
      <c r="N15" s="25">
        <v>0</v>
      </c>
      <c r="O15" s="25">
        <v>250</v>
      </c>
      <c r="P15" s="25">
        <v>0</v>
      </c>
      <c r="Q15" s="25">
        <v>0</v>
      </c>
      <c r="R15" s="25">
        <v>0</v>
      </c>
      <c r="S15" s="25">
        <v>0</v>
      </c>
      <c r="T15" s="25">
        <v>450</v>
      </c>
      <c r="U15" s="25">
        <v>0</v>
      </c>
      <c r="V15" s="25">
        <v>0</v>
      </c>
      <c r="W15" s="25">
        <v>0</v>
      </c>
      <c r="X15" s="25">
        <v>450</v>
      </c>
      <c r="Y15" s="25">
        <v>0</v>
      </c>
      <c r="Z15" s="25">
        <v>0</v>
      </c>
      <c r="AA15" s="25">
        <v>0</v>
      </c>
      <c r="AB15" s="25">
        <v>480</v>
      </c>
      <c r="AC15" s="25">
        <v>0</v>
      </c>
      <c r="AD15" s="25">
        <v>0</v>
      </c>
      <c r="AE15" s="25">
        <v>0</v>
      </c>
      <c r="AF15" s="25">
        <v>0</v>
      </c>
      <c r="AG15" s="25">
        <v>480</v>
      </c>
      <c r="AH15" s="25">
        <v>0</v>
      </c>
      <c r="AI15" s="25">
        <v>0</v>
      </c>
      <c r="AJ15" s="25">
        <v>0</v>
      </c>
      <c r="AK15" s="25">
        <v>480</v>
      </c>
      <c r="AL15" s="25">
        <v>0</v>
      </c>
      <c r="AM15" s="25">
        <v>0</v>
      </c>
      <c r="AN15" s="25">
        <v>0</v>
      </c>
      <c r="AO15" s="25">
        <v>480</v>
      </c>
      <c r="AP15" s="25">
        <v>0</v>
      </c>
      <c r="AQ15" s="25">
        <v>0</v>
      </c>
      <c r="AR15" s="25">
        <v>0</v>
      </c>
      <c r="AS15" s="25">
        <v>0</v>
      </c>
      <c r="AT15" s="25">
        <v>480</v>
      </c>
      <c r="AU15" s="25">
        <v>0</v>
      </c>
      <c r="AV15" s="25">
        <v>0</v>
      </c>
      <c r="AW15" s="25">
        <v>0</v>
      </c>
      <c r="AX15" s="25">
        <v>480</v>
      </c>
      <c r="AY15" s="25">
        <v>0</v>
      </c>
      <c r="AZ15" s="25">
        <v>0</v>
      </c>
      <c r="BA15" s="25">
        <v>0</v>
      </c>
      <c r="BB15" s="25">
        <v>480</v>
      </c>
      <c r="BC15" s="26">
        <f ca="1">SUM(OFFSET($B15,0,1,1,Assumptions!$B$7))</f>
        <v>780</v>
      </c>
      <c r="BD15" s="26">
        <f ca="1">SUM(OFFSET($B15,0,1+Assumptions!$B$7,1,SUM(Assumptions!$B$8)))</f>
        <v>1380</v>
      </c>
      <c r="BE15" s="26">
        <f ca="1">SUM(OFFSET($B15,0,1+SUM(Assumptions!$B$7:$B$8),1,SUM(Assumptions!$B$9)))</f>
        <v>1440</v>
      </c>
      <c r="BF15" s="26">
        <f ca="1">SUM(OFFSET($B15,0,1+SUM(Assumptions!$B$7:$B$9),1,SUM(Assumptions!$B$10)))</f>
        <v>1440</v>
      </c>
      <c r="BG15" s="26">
        <f t="shared" ca="1" si="3"/>
        <v>5040</v>
      </c>
    </row>
    <row r="16" spans="1:59" s="8" customFormat="1" ht="15" customHeight="1" x14ac:dyDescent="0.35">
      <c r="A16" s="20"/>
      <c r="B16" s="24" t="s">
        <v>19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900</v>
      </c>
      <c r="K16" s="25">
        <v>0</v>
      </c>
      <c r="L16" s="25">
        <v>0</v>
      </c>
      <c r="M16" s="25">
        <v>860</v>
      </c>
      <c r="N16" s="25">
        <v>0</v>
      </c>
      <c r="O16" s="25">
        <v>0</v>
      </c>
      <c r="P16" s="25">
        <v>0</v>
      </c>
      <c r="Q16" s="25">
        <v>0</v>
      </c>
      <c r="R16" s="25">
        <v>920</v>
      </c>
      <c r="S16" s="25">
        <v>0</v>
      </c>
      <c r="T16" s="25">
        <v>0</v>
      </c>
      <c r="U16" s="25">
        <v>0</v>
      </c>
      <c r="V16" s="25">
        <v>1030</v>
      </c>
      <c r="W16" s="25">
        <v>0</v>
      </c>
      <c r="X16" s="25">
        <v>0</v>
      </c>
      <c r="Y16" s="25">
        <v>0</v>
      </c>
      <c r="Z16" s="25">
        <v>850</v>
      </c>
      <c r="AA16" s="25">
        <v>0</v>
      </c>
      <c r="AB16" s="25">
        <v>0</v>
      </c>
      <c r="AC16" s="25">
        <v>0</v>
      </c>
      <c r="AD16" s="25">
        <v>0</v>
      </c>
      <c r="AE16" s="25">
        <v>970</v>
      </c>
      <c r="AF16" s="25">
        <v>0</v>
      </c>
      <c r="AG16" s="25">
        <v>0</v>
      </c>
      <c r="AH16" s="25">
        <v>0</v>
      </c>
      <c r="AI16" s="25">
        <v>970</v>
      </c>
      <c r="AJ16" s="25">
        <v>0</v>
      </c>
      <c r="AK16" s="25">
        <v>0</v>
      </c>
      <c r="AL16" s="25">
        <v>0</v>
      </c>
      <c r="AM16" s="25">
        <v>970</v>
      </c>
      <c r="AN16" s="25">
        <v>0</v>
      </c>
      <c r="AO16" s="25">
        <v>0</v>
      </c>
      <c r="AP16" s="25">
        <v>0</v>
      </c>
      <c r="AQ16" s="25">
        <v>0</v>
      </c>
      <c r="AR16" s="25">
        <v>970</v>
      </c>
      <c r="AS16" s="25">
        <v>0</v>
      </c>
      <c r="AT16" s="25">
        <v>0</v>
      </c>
      <c r="AU16" s="25">
        <v>0</v>
      </c>
      <c r="AV16" s="25">
        <v>970</v>
      </c>
      <c r="AW16" s="25">
        <v>0</v>
      </c>
      <c r="AX16" s="25">
        <v>0</v>
      </c>
      <c r="AY16" s="25">
        <v>0</v>
      </c>
      <c r="AZ16" s="25">
        <v>970</v>
      </c>
      <c r="BA16" s="25">
        <v>0</v>
      </c>
      <c r="BB16" s="25">
        <v>0</v>
      </c>
      <c r="BC16" s="26">
        <f ca="1">SUM(OFFSET($B16,0,1,1,Assumptions!$B$7))</f>
        <v>1760</v>
      </c>
      <c r="BD16" s="26">
        <f ca="1">SUM(OFFSET($B16,0,1+Assumptions!$B$7,1,SUM(Assumptions!$B$8)))</f>
        <v>2800</v>
      </c>
      <c r="BE16" s="26">
        <f ca="1">SUM(OFFSET($B16,0,1+SUM(Assumptions!$B$7:$B$8),1,SUM(Assumptions!$B$9)))</f>
        <v>2910</v>
      </c>
      <c r="BF16" s="26">
        <f ca="1">SUM(OFFSET($B16,0,1+SUM(Assumptions!$B$7:$B$9),1,SUM(Assumptions!$B$10)))</f>
        <v>2910</v>
      </c>
      <c r="BG16" s="26">
        <f t="shared" ca="1" si="3"/>
        <v>10380</v>
      </c>
    </row>
    <row r="17" spans="1:59" s="8" customFormat="1" ht="15" customHeight="1" x14ac:dyDescent="0.35">
      <c r="A17" s="20"/>
      <c r="B17" s="24" t="s">
        <v>7</v>
      </c>
      <c r="C17" s="25">
        <v>0</v>
      </c>
      <c r="D17" s="25">
        <v>0</v>
      </c>
      <c r="E17" s="25">
        <v>0</v>
      </c>
      <c r="F17" s="25">
        <v>0</v>
      </c>
      <c r="G17" s="25">
        <v>3000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2000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3500</v>
      </c>
      <c r="AY17" s="25">
        <v>0</v>
      </c>
      <c r="AZ17" s="25">
        <v>0</v>
      </c>
      <c r="BA17" s="25">
        <v>0</v>
      </c>
      <c r="BB17" s="25">
        <v>0</v>
      </c>
      <c r="BC17" s="26">
        <f ca="1">SUM(OFFSET($B17,0,1,1,Assumptions!$B$7))</f>
        <v>3000</v>
      </c>
      <c r="BD17" s="26">
        <f ca="1">SUM(OFFSET($B17,0,1+Assumptions!$B$7,1,SUM(Assumptions!$B$8)))</f>
        <v>0</v>
      </c>
      <c r="BE17" s="26">
        <f ca="1">SUM(OFFSET($B17,0,1+SUM(Assumptions!$B$7:$B$8),1,SUM(Assumptions!$B$9)))</f>
        <v>2000</v>
      </c>
      <c r="BF17" s="26">
        <f ca="1">SUM(OFFSET($B17,0,1+SUM(Assumptions!$B$7:$B$9),1,SUM(Assumptions!$B$10)))</f>
        <v>3500</v>
      </c>
      <c r="BG17" s="26">
        <f t="shared" ca="1" si="3"/>
        <v>8500</v>
      </c>
    </row>
    <row r="18" spans="1:59" s="8" customFormat="1" ht="15" customHeight="1" x14ac:dyDescent="0.35">
      <c r="A18" s="20"/>
      <c r="B18" s="24" t="s">
        <v>25</v>
      </c>
      <c r="C18" s="25">
        <v>900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820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850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820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900</v>
      </c>
      <c r="BC18" s="26">
        <f ca="1">SUM(OFFSET($B18,0,1,1,Assumptions!$B$7))</f>
        <v>1720</v>
      </c>
      <c r="BD18" s="26">
        <f ca="1">SUM(OFFSET($B18,0,1+Assumptions!$B$7,1,SUM(Assumptions!$B$8)))</f>
        <v>0</v>
      </c>
      <c r="BE18" s="26">
        <f ca="1">SUM(OFFSET($B18,0,1+SUM(Assumptions!$B$7:$B$8),1,SUM(Assumptions!$B$9)))</f>
        <v>850</v>
      </c>
      <c r="BF18" s="26">
        <f ca="1">SUM(OFFSET($B18,0,1+SUM(Assumptions!$B$7:$B$9),1,SUM(Assumptions!$B$10)))</f>
        <v>1720</v>
      </c>
      <c r="BG18" s="26">
        <f t="shared" ca="1" si="3"/>
        <v>4290</v>
      </c>
    </row>
    <row r="19" spans="1:59" s="8" customFormat="1" ht="15" customHeight="1" x14ac:dyDescent="0.35">
      <c r="A19" s="20"/>
      <c r="B19" s="24" t="s">
        <v>9</v>
      </c>
      <c r="C19" s="25">
        <v>0</v>
      </c>
      <c r="D19" s="25">
        <v>0</v>
      </c>
      <c r="E19" s="25">
        <v>0</v>
      </c>
      <c r="F19" s="25">
        <v>0</v>
      </c>
      <c r="G19" s="25">
        <v>1150</v>
      </c>
      <c r="H19" s="25">
        <v>0</v>
      </c>
      <c r="I19" s="25">
        <v>0</v>
      </c>
      <c r="J19" s="25">
        <v>0</v>
      </c>
      <c r="K19" s="25">
        <v>1150</v>
      </c>
      <c r="L19" s="25">
        <v>0</v>
      </c>
      <c r="M19" s="25">
        <v>0</v>
      </c>
      <c r="N19" s="25">
        <v>0</v>
      </c>
      <c r="O19" s="25">
        <v>1150</v>
      </c>
      <c r="P19" s="25">
        <v>0</v>
      </c>
      <c r="Q19" s="25">
        <v>0</v>
      </c>
      <c r="R19" s="25">
        <v>0</v>
      </c>
      <c r="S19" s="25">
        <v>0</v>
      </c>
      <c r="T19" s="25">
        <v>1150</v>
      </c>
      <c r="U19" s="25">
        <v>0</v>
      </c>
      <c r="V19" s="25">
        <v>0</v>
      </c>
      <c r="W19" s="25">
        <v>0</v>
      </c>
      <c r="X19" s="25">
        <v>1150</v>
      </c>
      <c r="Y19" s="25">
        <v>0</v>
      </c>
      <c r="Z19" s="25">
        <v>0</v>
      </c>
      <c r="AA19" s="25">
        <v>0</v>
      </c>
      <c r="AB19" s="25">
        <v>1150</v>
      </c>
      <c r="AC19" s="25">
        <v>0</v>
      </c>
      <c r="AD19" s="25">
        <v>0</v>
      </c>
      <c r="AE19" s="25">
        <v>0</v>
      </c>
      <c r="AF19" s="25">
        <v>0</v>
      </c>
      <c r="AG19" s="25">
        <v>1150</v>
      </c>
      <c r="AH19" s="25">
        <v>0</v>
      </c>
      <c r="AI19" s="25">
        <v>0</v>
      </c>
      <c r="AJ19" s="25">
        <v>0</v>
      </c>
      <c r="AK19" s="25">
        <v>1150</v>
      </c>
      <c r="AL19" s="25">
        <v>0</v>
      </c>
      <c r="AM19" s="25">
        <v>0</v>
      </c>
      <c r="AN19" s="25">
        <v>0</v>
      </c>
      <c r="AO19" s="25">
        <v>1150</v>
      </c>
      <c r="AP19" s="25">
        <v>0</v>
      </c>
      <c r="AQ19" s="25">
        <v>0</v>
      </c>
      <c r="AR19" s="25">
        <v>0</v>
      </c>
      <c r="AS19" s="25">
        <v>0</v>
      </c>
      <c r="AT19" s="25">
        <v>1150</v>
      </c>
      <c r="AU19" s="25">
        <v>0</v>
      </c>
      <c r="AV19" s="25">
        <v>0</v>
      </c>
      <c r="AW19" s="25">
        <v>0</v>
      </c>
      <c r="AX19" s="25">
        <v>1150</v>
      </c>
      <c r="AY19" s="25">
        <v>0</v>
      </c>
      <c r="AZ19" s="25">
        <v>0</v>
      </c>
      <c r="BA19" s="25">
        <v>0</v>
      </c>
      <c r="BB19" s="25">
        <v>1150</v>
      </c>
      <c r="BC19" s="26">
        <f ca="1">SUM(OFFSET($B19,0,1,1,Assumptions!$B$7))</f>
        <v>3450</v>
      </c>
      <c r="BD19" s="26">
        <f ca="1">SUM(OFFSET($B19,0,1+Assumptions!$B$7,1,SUM(Assumptions!$B$8)))</f>
        <v>3450</v>
      </c>
      <c r="BE19" s="26">
        <f ca="1">SUM(OFFSET($B19,0,1+SUM(Assumptions!$B$7:$B$8),1,SUM(Assumptions!$B$9)))</f>
        <v>3450</v>
      </c>
      <c r="BF19" s="26">
        <f ca="1">SUM(OFFSET($B19,0,1+SUM(Assumptions!$B$7:$B$9),1,SUM(Assumptions!$B$10)))</f>
        <v>3450</v>
      </c>
      <c r="BG19" s="26">
        <f t="shared" ca="1" si="3"/>
        <v>13800</v>
      </c>
    </row>
    <row r="20" spans="1:59" s="8" customFormat="1" ht="15" customHeight="1" x14ac:dyDescent="0.35">
      <c r="A20" s="20"/>
      <c r="B20" s="24" t="s">
        <v>10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13800</v>
      </c>
      <c r="T20" s="25"/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18540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6">
        <f ca="1">SUM(OFFSET($B20,0,1,1,Assumptions!$B$7))</f>
        <v>0</v>
      </c>
      <c r="BD20" s="26">
        <f ca="1">SUM(OFFSET($B20,0,1+Assumptions!$B$7,1,SUM(Assumptions!$B$8)))</f>
        <v>13800</v>
      </c>
      <c r="BE20" s="26">
        <f ca="1">SUM(OFFSET($B20,0,1+SUM(Assumptions!$B$7:$B$8),1,SUM(Assumptions!$B$9)))</f>
        <v>0</v>
      </c>
      <c r="BF20" s="26">
        <f ca="1">SUM(OFFSET($B20,0,1+SUM(Assumptions!$B$7:$B$9),1,SUM(Assumptions!$B$10)))</f>
        <v>18540</v>
      </c>
      <c r="BG20" s="26">
        <f t="shared" ca="1" si="3"/>
        <v>32340</v>
      </c>
    </row>
    <row r="21" spans="1:59" s="8" customFormat="1" ht="15" customHeight="1" x14ac:dyDescent="0.35">
      <c r="A21" s="20"/>
      <c r="B21" s="24" t="s">
        <v>23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8000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9200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6">
        <f ca="1">SUM(OFFSET($B21,0,1,1,Assumptions!$B$7))</f>
        <v>8000</v>
      </c>
      <c r="BD21" s="26">
        <f ca="1">SUM(OFFSET($B21,0,1+Assumptions!$B$7,1,SUM(Assumptions!$B$8)))</f>
        <v>0</v>
      </c>
      <c r="BE21" s="26">
        <f ca="1">SUM(OFFSET($B21,0,1+SUM(Assumptions!$B$7:$B$8),1,SUM(Assumptions!$B$9)))</f>
        <v>9200</v>
      </c>
      <c r="BF21" s="26">
        <f ca="1">SUM(OFFSET($B21,0,1+SUM(Assumptions!$B$7:$B$9),1,SUM(Assumptions!$B$10)))</f>
        <v>0</v>
      </c>
      <c r="BG21" s="26">
        <f t="shared" ca="1" si="3"/>
        <v>17200</v>
      </c>
    </row>
    <row r="22" spans="1:59" s="8" customFormat="1" ht="15" customHeight="1" x14ac:dyDescent="0.35">
      <c r="A22" s="20"/>
      <c r="B22" s="24" t="s">
        <v>11</v>
      </c>
      <c r="C22" s="25">
        <v>2000</v>
      </c>
      <c r="D22" s="25">
        <v>0</v>
      </c>
      <c r="E22" s="25">
        <v>0</v>
      </c>
      <c r="F22" s="25">
        <v>0</v>
      </c>
      <c r="G22" s="25">
        <v>0</v>
      </c>
      <c r="H22" s="25">
        <v>2000</v>
      </c>
      <c r="I22" s="25">
        <v>0</v>
      </c>
      <c r="J22" s="25">
        <v>0</v>
      </c>
      <c r="K22" s="25">
        <v>0</v>
      </c>
      <c r="L22" s="25">
        <v>2000</v>
      </c>
      <c r="M22" s="25">
        <v>0</v>
      </c>
      <c r="N22" s="25">
        <v>0</v>
      </c>
      <c r="O22" s="25">
        <v>0</v>
      </c>
      <c r="P22" s="25">
        <v>2000</v>
      </c>
      <c r="Q22" s="25">
        <v>0</v>
      </c>
      <c r="R22" s="25">
        <v>0</v>
      </c>
      <c r="S22" s="25">
        <v>0</v>
      </c>
      <c r="T22" s="25">
        <v>0</v>
      </c>
      <c r="U22" s="25">
        <v>2000</v>
      </c>
      <c r="V22" s="25">
        <v>0</v>
      </c>
      <c r="W22" s="25">
        <v>0</v>
      </c>
      <c r="X22" s="25">
        <v>0</v>
      </c>
      <c r="Y22" s="25">
        <v>2000</v>
      </c>
      <c r="Z22" s="25">
        <v>0</v>
      </c>
      <c r="AA22" s="25">
        <v>0</v>
      </c>
      <c r="AB22" s="25">
        <v>0</v>
      </c>
      <c r="AC22" s="25">
        <v>2200</v>
      </c>
      <c r="AD22" s="25">
        <v>0</v>
      </c>
      <c r="AE22" s="25">
        <v>0</v>
      </c>
      <c r="AF22" s="25">
        <v>0</v>
      </c>
      <c r="AG22" s="25">
        <v>0</v>
      </c>
      <c r="AH22" s="25">
        <v>2200</v>
      </c>
      <c r="AI22" s="25">
        <v>0</v>
      </c>
      <c r="AJ22" s="25">
        <v>0</v>
      </c>
      <c r="AK22" s="25">
        <v>0</v>
      </c>
      <c r="AL22" s="25">
        <v>2200</v>
      </c>
      <c r="AM22" s="25">
        <v>0</v>
      </c>
      <c r="AN22" s="25">
        <v>0</v>
      </c>
      <c r="AO22" s="25">
        <v>0</v>
      </c>
      <c r="AP22" s="25">
        <v>0</v>
      </c>
      <c r="AQ22" s="25">
        <v>2200</v>
      </c>
      <c r="AR22" s="25">
        <v>0</v>
      </c>
      <c r="AS22" s="25">
        <v>0</v>
      </c>
      <c r="AT22" s="25">
        <v>0</v>
      </c>
      <c r="AU22" s="25">
        <v>2200</v>
      </c>
      <c r="AV22" s="25">
        <v>0</v>
      </c>
      <c r="AW22" s="25">
        <v>0</v>
      </c>
      <c r="AX22" s="25">
        <v>0</v>
      </c>
      <c r="AY22" s="25">
        <v>2200</v>
      </c>
      <c r="AZ22" s="25">
        <v>0</v>
      </c>
      <c r="BA22" s="25">
        <v>0</v>
      </c>
      <c r="BB22" s="25">
        <v>0</v>
      </c>
      <c r="BC22" s="26">
        <f ca="1">SUM(OFFSET($B22,0,1,1,Assumptions!$B$7))</f>
        <v>6000</v>
      </c>
      <c r="BD22" s="26">
        <f ca="1">SUM(OFFSET($B22,0,1+Assumptions!$B$7,1,SUM(Assumptions!$B$8)))</f>
        <v>6000</v>
      </c>
      <c r="BE22" s="26">
        <f ca="1">SUM(OFFSET($B22,0,1+SUM(Assumptions!$B$7:$B$8),1,SUM(Assumptions!$B$9)))</f>
        <v>6600</v>
      </c>
      <c r="BF22" s="26">
        <f ca="1">SUM(OFFSET($B22,0,1+SUM(Assumptions!$B$7:$B$9),1,SUM(Assumptions!$B$10)))</f>
        <v>6600</v>
      </c>
      <c r="BG22" s="26">
        <f t="shared" ca="1" si="3"/>
        <v>25200</v>
      </c>
    </row>
    <row r="23" spans="1:59" s="8" customFormat="1" ht="15" customHeight="1" x14ac:dyDescent="0.35">
      <c r="A23" s="20"/>
      <c r="B23" s="24" t="s">
        <v>26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15400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7520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6">
        <f ca="1">SUM(OFFSET($B23,0,1,1,Assumptions!$B$7))</f>
        <v>0</v>
      </c>
      <c r="BD23" s="26">
        <f ca="1">SUM(OFFSET($B23,0,1+Assumptions!$B$7,1,SUM(Assumptions!$B$8)))</f>
        <v>15400</v>
      </c>
      <c r="BE23" s="26">
        <f ca="1">SUM(OFFSET($B23,0,1+SUM(Assumptions!$B$7:$B$8),1,SUM(Assumptions!$B$9)))</f>
        <v>7520</v>
      </c>
      <c r="BF23" s="26">
        <f ca="1">SUM(OFFSET($B23,0,1+SUM(Assumptions!$B$7:$B$9),1,SUM(Assumptions!$B$10)))</f>
        <v>0</v>
      </c>
      <c r="BG23" s="26">
        <f t="shared" ca="1" si="3"/>
        <v>22920</v>
      </c>
    </row>
    <row r="24" spans="1:59" s="8" customFormat="1" ht="15" customHeight="1" x14ac:dyDescent="0.35">
      <c r="A24" s="20"/>
      <c r="B24" s="24" t="s">
        <v>22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13520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4000</v>
      </c>
      <c r="AY24" s="25">
        <v>0</v>
      </c>
      <c r="AZ24" s="25">
        <v>0</v>
      </c>
      <c r="BA24" s="25">
        <v>0</v>
      </c>
      <c r="BB24" s="25">
        <v>0</v>
      </c>
      <c r="BC24" s="26">
        <f ca="1">SUM(OFFSET($B24,0,1,1,Assumptions!$B$7))</f>
        <v>0</v>
      </c>
      <c r="BD24" s="26">
        <f ca="1">SUM(OFFSET($B24,0,1+Assumptions!$B$7,1,SUM(Assumptions!$B$8)))</f>
        <v>13520</v>
      </c>
      <c r="BE24" s="26">
        <f ca="1">SUM(OFFSET($B24,0,1+SUM(Assumptions!$B$7:$B$8),1,SUM(Assumptions!$B$9)))</f>
        <v>0</v>
      </c>
      <c r="BF24" s="26">
        <f ca="1">SUM(OFFSET($B24,0,1+SUM(Assumptions!$B$7:$B$9),1,SUM(Assumptions!$B$10)))</f>
        <v>4000</v>
      </c>
      <c r="BG24" s="26">
        <f t="shared" ca="1" si="3"/>
        <v>17520</v>
      </c>
    </row>
    <row r="25" spans="1:59" s="8" customFormat="1" ht="15" customHeight="1" x14ac:dyDescent="0.35">
      <c r="A25" s="20"/>
      <c r="B25" s="24" t="s">
        <v>21</v>
      </c>
      <c r="C25" s="25">
        <v>0</v>
      </c>
      <c r="D25" s="25">
        <v>0</v>
      </c>
      <c r="E25" s="25">
        <v>0</v>
      </c>
      <c r="F25" s="25">
        <v>0</v>
      </c>
      <c r="G25" s="25">
        <v>125</v>
      </c>
      <c r="H25" s="25">
        <v>0</v>
      </c>
      <c r="I25" s="25">
        <v>0</v>
      </c>
      <c r="J25" s="25">
        <v>0</v>
      </c>
      <c r="K25" s="25">
        <v>125</v>
      </c>
      <c r="L25" s="25">
        <v>0</v>
      </c>
      <c r="M25" s="25">
        <v>0</v>
      </c>
      <c r="N25" s="25">
        <v>0</v>
      </c>
      <c r="O25" s="25">
        <v>125</v>
      </c>
      <c r="P25" s="25">
        <v>0</v>
      </c>
      <c r="Q25" s="25">
        <v>0</v>
      </c>
      <c r="R25" s="25">
        <v>0</v>
      </c>
      <c r="S25" s="25">
        <v>0</v>
      </c>
      <c r="T25" s="25">
        <v>125</v>
      </c>
      <c r="U25" s="25">
        <v>0</v>
      </c>
      <c r="V25" s="25">
        <v>0</v>
      </c>
      <c r="W25" s="25">
        <v>0</v>
      </c>
      <c r="X25" s="25">
        <v>125</v>
      </c>
      <c r="Y25" s="25">
        <v>0</v>
      </c>
      <c r="Z25" s="25">
        <v>0</v>
      </c>
      <c r="AA25" s="25">
        <v>0</v>
      </c>
      <c r="AB25" s="25">
        <v>125</v>
      </c>
      <c r="AC25" s="25">
        <v>0</v>
      </c>
      <c r="AD25" s="25">
        <v>0</v>
      </c>
      <c r="AE25" s="25">
        <v>0</v>
      </c>
      <c r="AF25" s="25">
        <v>0</v>
      </c>
      <c r="AG25" s="25">
        <v>125</v>
      </c>
      <c r="AH25" s="25">
        <v>0</v>
      </c>
      <c r="AI25" s="25">
        <v>0</v>
      </c>
      <c r="AJ25" s="25">
        <v>0</v>
      </c>
      <c r="AK25" s="25">
        <v>125</v>
      </c>
      <c r="AL25" s="25">
        <v>0</v>
      </c>
      <c r="AM25" s="25">
        <v>0</v>
      </c>
      <c r="AN25" s="25">
        <v>0</v>
      </c>
      <c r="AO25" s="25">
        <v>125</v>
      </c>
      <c r="AP25" s="25">
        <v>0</v>
      </c>
      <c r="AQ25" s="25">
        <v>0</v>
      </c>
      <c r="AR25" s="25">
        <v>0</v>
      </c>
      <c r="AS25" s="25">
        <v>0</v>
      </c>
      <c r="AT25" s="25">
        <v>125</v>
      </c>
      <c r="AU25" s="25">
        <v>0</v>
      </c>
      <c r="AV25" s="25">
        <v>0</v>
      </c>
      <c r="AW25" s="25">
        <v>0</v>
      </c>
      <c r="AX25" s="25">
        <v>125</v>
      </c>
      <c r="AY25" s="25">
        <v>0</v>
      </c>
      <c r="AZ25" s="25">
        <v>0</v>
      </c>
      <c r="BA25" s="25">
        <v>0</v>
      </c>
      <c r="BB25" s="25">
        <v>125</v>
      </c>
      <c r="BC25" s="26">
        <f ca="1">SUM(OFFSET($B25,0,1,1,Assumptions!$B$7))</f>
        <v>375</v>
      </c>
      <c r="BD25" s="26">
        <f ca="1">SUM(OFFSET($B25,0,1+Assumptions!$B$7,1,SUM(Assumptions!$B$8)))</f>
        <v>375</v>
      </c>
      <c r="BE25" s="26">
        <f ca="1">SUM(OFFSET($B25,0,1+SUM(Assumptions!$B$7:$B$8),1,SUM(Assumptions!$B$9)))</f>
        <v>375</v>
      </c>
      <c r="BF25" s="26">
        <f ca="1">SUM(OFFSET($B25,0,1+SUM(Assumptions!$B$7:$B$9),1,SUM(Assumptions!$B$10)))</f>
        <v>375</v>
      </c>
      <c r="BG25" s="26">
        <f t="shared" ca="1" si="3"/>
        <v>1500</v>
      </c>
    </row>
    <row r="26" spans="1:59" s="8" customFormat="1" ht="15" customHeight="1" x14ac:dyDescent="0.35">
      <c r="A26" s="20"/>
      <c r="B26" s="24" t="s">
        <v>12</v>
      </c>
      <c r="C26" s="25">
        <v>0</v>
      </c>
      <c r="D26" s="25">
        <v>0</v>
      </c>
      <c r="E26" s="25">
        <v>0</v>
      </c>
      <c r="F26" s="25">
        <v>0</v>
      </c>
      <c r="G26" s="25">
        <v>184</v>
      </c>
      <c r="H26" s="25">
        <v>0</v>
      </c>
      <c r="I26" s="25">
        <v>0</v>
      </c>
      <c r="J26" s="25">
        <v>0</v>
      </c>
      <c r="K26" s="25">
        <v>184</v>
      </c>
      <c r="L26" s="25">
        <v>0</v>
      </c>
      <c r="M26" s="25">
        <v>0</v>
      </c>
      <c r="N26" s="25">
        <v>0</v>
      </c>
      <c r="O26" s="25">
        <v>184</v>
      </c>
      <c r="P26" s="25">
        <v>0</v>
      </c>
      <c r="Q26" s="25">
        <v>0</v>
      </c>
      <c r="R26" s="25">
        <v>0</v>
      </c>
      <c r="S26" s="25">
        <v>0</v>
      </c>
      <c r="T26" s="25">
        <v>184</v>
      </c>
      <c r="U26" s="25">
        <v>0</v>
      </c>
      <c r="V26" s="25">
        <v>0</v>
      </c>
      <c r="W26" s="25">
        <v>0</v>
      </c>
      <c r="X26" s="25">
        <v>184</v>
      </c>
      <c r="Y26" s="25">
        <v>0</v>
      </c>
      <c r="Z26" s="25">
        <v>0</v>
      </c>
      <c r="AA26" s="25">
        <v>0</v>
      </c>
      <c r="AB26" s="25">
        <v>184</v>
      </c>
      <c r="AC26" s="25">
        <v>0</v>
      </c>
      <c r="AD26" s="25">
        <v>0</v>
      </c>
      <c r="AE26" s="25">
        <v>0</v>
      </c>
      <c r="AF26" s="25">
        <v>0</v>
      </c>
      <c r="AG26" s="25">
        <v>184</v>
      </c>
      <c r="AH26" s="25">
        <v>0</v>
      </c>
      <c r="AI26" s="25">
        <v>0</v>
      </c>
      <c r="AJ26" s="25">
        <v>0</v>
      </c>
      <c r="AK26" s="25">
        <v>184</v>
      </c>
      <c r="AL26" s="25">
        <v>0</v>
      </c>
      <c r="AM26" s="25">
        <v>0</v>
      </c>
      <c r="AN26" s="25">
        <v>0</v>
      </c>
      <c r="AO26" s="25">
        <v>184</v>
      </c>
      <c r="AP26" s="25">
        <v>0</v>
      </c>
      <c r="AQ26" s="25">
        <v>0</v>
      </c>
      <c r="AR26" s="25">
        <v>0</v>
      </c>
      <c r="AS26" s="25">
        <v>0</v>
      </c>
      <c r="AT26" s="25">
        <v>184</v>
      </c>
      <c r="AU26" s="25">
        <v>0</v>
      </c>
      <c r="AV26" s="25">
        <v>0</v>
      </c>
      <c r="AW26" s="25">
        <v>0</v>
      </c>
      <c r="AX26" s="25">
        <v>184</v>
      </c>
      <c r="AY26" s="25">
        <v>0</v>
      </c>
      <c r="AZ26" s="25">
        <v>0</v>
      </c>
      <c r="BA26" s="25">
        <v>0</v>
      </c>
      <c r="BB26" s="25">
        <v>184</v>
      </c>
      <c r="BC26" s="26">
        <f ca="1">SUM(OFFSET($B26,0,1,1,Assumptions!$B$7))</f>
        <v>552</v>
      </c>
      <c r="BD26" s="26">
        <f ca="1">SUM(OFFSET($B26,0,1+Assumptions!$B$7,1,SUM(Assumptions!$B$8)))</f>
        <v>552</v>
      </c>
      <c r="BE26" s="26">
        <f ca="1">SUM(OFFSET($B26,0,1+SUM(Assumptions!$B$7:$B$8),1,SUM(Assumptions!$B$9)))</f>
        <v>552</v>
      </c>
      <c r="BF26" s="26">
        <f ca="1">SUM(OFFSET($B26,0,1+SUM(Assumptions!$B$7:$B$9),1,SUM(Assumptions!$B$10)))</f>
        <v>552</v>
      </c>
      <c r="BG26" s="26">
        <f t="shared" ca="1" si="3"/>
        <v>2208</v>
      </c>
    </row>
    <row r="27" spans="1:59" s="8" customFormat="1" ht="15" customHeight="1" x14ac:dyDescent="0.35">
      <c r="A27" s="20"/>
      <c r="B27" s="24" t="s">
        <v>20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13520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5580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4853</v>
      </c>
      <c r="BB27" s="25">
        <v>0</v>
      </c>
      <c r="BC27" s="26">
        <f ca="1">SUM(OFFSET($B27,0,1,1,Assumptions!$B$7))</f>
        <v>13520</v>
      </c>
      <c r="BD27" s="26">
        <f ca="1">SUM(OFFSET($B27,0,1+Assumptions!$B$7,1,SUM(Assumptions!$B$8)))</f>
        <v>0</v>
      </c>
      <c r="BE27" s="26">
        <f ca="1">SUM(OFFSET($B27,0,1+SUM(Assumptions!$B$7:$B$8),1,SUM(Assumptions!$B$9)))</f>
        <v>5580</v>
      </c>
      <c r="BF27" s="26">
        <f ca="1">SUM(OFFSET($B27,0,1+SUM(Assumptions!$B$7:$B$9),1,SUM(Assumptions!$B$10)))</f>
        <v>4853</v>
      </c>
      <c r="BG27" s="26">
        <f t="shared" ca="1" si="3"/>
        <v>23953</v>
      </c>
    </row>
    <row r="28" spans="1:59" s="8" customFormat="1" ht="15" customHeight="1" x14ac:dyDescent="0.35">
      <c r="A28" s="20"/>
      <c r="B28" s="24" t="s">
        <v>13</v>
      </c>
      <c r="C28" s="25">
        <v>10000</v>
      </c>
      <c r="D28" s="25">
        <v>0</v>
      </c>
      <c r="E28" s="25">
        <v>0</v>
      </c>
      <c r="F28" s="25">
        <v>0</v>
      </c>
      <c r="G28" s="25">
        <v>0</v>
      </c>
      <c r="H28" s="25">
        <v>10000</v>
      </c>
      <c r="I28" s="25">
        <v>0</v>
      </c>
      <c r="J28" s="25">
        <v>0</v>
      </c>
      <c r="K28" s="25">
        <v>0</v>
      </c>
      <c r="L28" s="25">
        <v>10000</v>
      </c>
      <c r="M28" s="25">
        <v>0</v>
      </c>
      <c r="N28" s="25">
        <v>0</v>
      </c>
      <c r="O28" s="25">
        <v>0</v>
      </c>
      <c r="P28" s="25">
        <v>10000</v>
      </c>
      <c r="Q28" s="25">
        <v>0</v>
      </c>
      <c r="R28" s="25">
        <v>0</v>
      </c>
      <c r="S28" s="25">
        <v>0</v>
      </c>
      <c r="T28" s="25">
        <v>0</v>
      </c>
      <c r="U28" s="25">
        <v>10000</v>
      </c>
      <c r="V28" s="25">
        <v>0</v>
      </c>
      <c r="W28" s="25">
        <v>0</v>
      </c>
      <c r="X28" s="25">
        <v>0</v>
      </c>
      <c r="Y28" s="25">
        <v>10000</v>
      </c>
      <c r="Z28" s="25">
        <v>0</v>
      </c>
      <c r="AA28" s="25">
        <v>0</v>
      </c>
      <c r="AB28" s="25">
        <v>0</v>
      </c>
      <c r="AC28" s="25">
        <v>10000</v>
      </c>
      <c r="AD28" s="25">
        <v>0</v>
      </c>
      <c r="AE28" s="25">
        <v>0</v>
      </c>
      <c r="AF28" s="25">
        <v>0</v>
      </c>
      <c r="AG28" s="25">
        <v>0</v>
      </c>
      <c r="AH28" s="25">
        <v>11010</v>
      </c>
      <c r="AI28" s="25">
        <v>0</v>
      </c>
      <c r="AJ28" s="25">
        <v>0</v>
      </c>
      <c r="AK28" s="25">
        <v>0</v>
      </c>
      <c r="AL28" s="25">
        <v>11010</v>
      </c>
      <c r="AM28" s="25">
        <v>0</v>
      </c>
      <c r="AN28" s="25">
        <v>0</v>
      </c>
      <c r="AO28" s="25">
        <v>0</v>
      </c>
      <c r="AP28" s="25">
        <v>0</v>
      </c>
      <c r="AQ28" s="25">
        <v>11010</v>
      </c>
      <c r="AR28" s="25">
        <v>0</v>
      </c>
      <c r="AS28" s="25">
        <v>0</v>
      </c>
      <c r="AT28" s="25">
        <v>0</v>
      </c>
      <c r="AU28" s="25">
        <v>11010</v>
      </c>
      <c r="AV28" s="25">
        <v>0</v>
      </c>
      <c r="AW28" s="25">
        <v>0</v>
      </c>
      <c r="AX28" s="25">
        <v>0</v>
      </c>
      <c r="AY28" s="25">
        <v>11010</v>
      </c>
      <c r="AZ28" s="25">
        <v>0</v>
      </c>
      <c r="BA28" s="25">
        <v>0</v>
      </c>
      <c r="BB28" s="25">
        <v>0</v>
      </c>
      <c r="BC28" s="26">
        <f ca="1">SUM(OFFSET($B28,0,1,1,Assumptions!$B$7))</f>
        <v>30000</v>
      </c>
      <c r="BD28" s="26">
        <f ca="1">SUM(OFFSET($B28,0,1+Assumptions!$B$7,1,SUM(Assumptions!$B$8)))</f>
        <v>30000</v>
      </c>
      <c r="BE28" s="26">
        <f ca="1">SUM(OFFSET($B28,0,1+SUM(Assumptions!$B$7:$B$8),1,SUM(Assumptions!$B$9)))</f>
        <v>32020</v>
      </c>
      <c r="BF28" s="26">
        <f ca="1">SUM(OFFSET($B28,0,1+SUM(Assumptions!$B$7:$B$9),1,SUM(Assumptions!$B$10)))</f>
        <v>33030</v>
      </c>
      <c r="BG28" s="26">
        <f t="shared" ca="1" si="3"/>
        <v>125050</v>
      </c>
    </row>
    <row r="29" spans="1:59" s="8" customFormat="1" ht="15" customHeight="1" x14ac:dyDescent="0.35">
      <c r="A29" s="20"/>
      <c r="B29" s="24" t="s">
        <v>24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4300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2100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1900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3100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6">
        <f ca="1">SUM(OFFSET($B29,0,1,1,Assumptions!$B$7))</f>
        <v>4300</v>
      </c>
      <c r="BD29" s="26">
        <f ca="1">SUM(OFFSET($B29,0,1+Assumptions!$B$7,1,SUM(Assumptions!$B$8)))</f>
        <v>2100</v>
      </c>
      <c r="BE29" s="26">
        <f ca="1">SUM(OFFSET($B29,0,1+SUM(Assumptions!$B$7:$B$8),1,SUM(Assumptions!$B$9)))</f>
        <v>1900</v>
      </c>
      <c r="BF29" s="26">
        <f ca="1">SUM(OFFSET($B29,0,1+SUM(Assumptions!$B$7:$B$9),1,SUM(Assumptions!$B$10)))</f>
        <v>3100</v>
      </c>
      <c r="BG29" s="26">
        <f t="shared" ca="1" si="3"/>
        <v>11400</v>
      </c>
    </row>
    <row r="30" spans="1:59" s="8" customFormat="1" ht="15" customHeight="1" x14ac:dyDescent="0.35">
      <c r="A30" s="20"/>
      <c r="B30" s="24" t="s">
        <v>14</v>
      </c>
      <c r="C30" s="25">
        <v>5800</v>
      </c>
      <c r="D30" s="25">
        <v>5800</v>
      </c>
      <c r="E30" s="25">
        <v>5800</v>
      </c>
      <c r="F30" s="25">
        <v>5800</v>
      </c>
      <c r="G30" s="25">
        <v>5800</v>
      </c>
      <c r="H30" s="25">
        <v>5800</v>
      </c>
      <c r="I30" s="25">
        <v>5800</v>
      </c>
      <c r="J30" s="25">
        <v>5800</v>
      </c>
      <c r="K30" s="25">
        <v>5800</v>
      </c>
      <c r="L30" s="25">
        <v>5800</v>
      </c>
      <c r="M30" s="25">
        <v>5800</v>
      </c>
      <c r="N30" s="25">
        <v>5800</v>
      </c>
      <c r="O30" s="25">
        <v>5800</v>
      </c>
      <c r="P30" s="25">
        <v>5800</v>
      </c>
      <c r="Q30" s="25">
        <v>5800</v>
      </c>
      <c r="R30" s="25">
        <v>5800</v>
      </c>
      <c r="S30" s="25">
        <v>5800</v>
      </c>
      <c r="T30" s="25">
        <v>5800</v>
      </c>
      <c r="U30" s="25">
        <v>5800</v>
      </c>
      <c r="V30" s="25">
        <v>5800</v>
      </c>
      <c r="W30" s="25">
        <v>5800</v>
      </c>
      <c r="X30" s="25">
        <v>5800</v>
      </c>
      <c r="Y30" s="25">
        <v>5800</v>
      </c>
      <c r="Z30" s="25">
        <v>5800</v>
      </c>
      <c r="AA30" s="25">
        <v>6500</v>
      </c>
      <c r="AB30" s="25">
        <v>6500</v>
      </c>
      <c r="AC30" s="25">
        <v>6500</v>
      </c>
      <c r="AD30" s="25">
        <v>6500</v>
      </c>
      <c r="AE30" s="25">
        <v>6500</v>
      </c>
      <c r="AF30" s="25">
        <v>6500</v>
      </c>
      <c r="AG30" s="25">
        <v>6500</v>
      </c>
      <c r="AH30" s="25">
        <v>6500</v>
      </c>
      <c r="AI30" s="25">
        <v>6500</v>
      </c>
      <c r="AJ30" s="25">
        <v>6500</v>
      </c>
      <c r="AK30" s="25">
        <v>6500</v>
      </c>
      <c r="AL30" s="25">
        <v>6500</v>
      </c>
      <c r="AM30" s="25">
        <v>6500</v>
      </c>
      <c r="AN30" s="25">
        <v>6500</v>
      </c>
      <c r="AO30" s="25">
        <v>6500</v>
      </c>
      <c r="AP30" s="25">
        <v>6500</v>
      </c>
      <c r="AQ30" s="25">
        <v>6500</v>
      </c>
      <c r="AR30" s="25">
        <v>6500</v>
      </c>
      <c r="AS30" s="25">
        <v>6500</v>
      </c>
      <c r="AT30" s="25">
        <v>6500</v>
      </c>
      <c r="AU30" s="25">
        <v>6500</v>
      </c>
      <c r="AV30" s="25">
        <v>6500</v>
      </c>
      <c r="AW30" s="25">
        <v>6500</v>
      </c>
      <c r="AX30" s="25">
        <v>6500</v>
      </c>
      <c r="AY30" s="25">
        <v>6500</v>
      </c>
      <c r="AZ30" s="25">
        <v>6500</v>
      </c>
      <c r="BA30" s="25">
        <v>6500</v>
      </c>
      <c r="BB30" s="25">
        <v>6500</v>
      </c>
      <c r="BC30" s="26">
        <f ca="1">SUM(OFFSET($B30,0,1,1,Assumptions!$B$7))</f>
        <v>75400</v>
      </c>
      <c r="BD30" s="26">
        <f ca="1">SUM(OFFSET($B30,0,1+Assumptions!$B$7,1,SUM(Assumptions!$B$8)))</f>
        <v>76800</v>
      </c>
      <c r="BE30" s="26">
        <f ca="1">SUM(OFFSET($B30,0,1+SUM(Assumptions!$B$7:$B$8),1,SUM(Assumptions!$B$9)))</f>
        <v>84500</v>
      </c>
      <c r="BF30" s="26">
        <f ca="1">SUM(OFFSET($B30,0,1+SUM(Assumptions!$B$7:$B$9),1,SUM(Assumptions!$B$10)))</f>
        <v>84500</v>
      </c>
      <c r="BG30" s="26">
        <f t="shared" ca="1" si="3"/>
        <v>321200</v>
      </c>
    </row>
    <row r="31" spans="1:59" s="8" customFormat="1" ht="15" customHeight="1" x14ac:dyDescent="0.35">
      <c r="A31" s="20"/>
      <c r="B31" s="24" t="s">
        <v>15</v>
      </c>
      <c r="C31" s="25">
        <v>0</v>
      </c>
      <c r="D31" s="25">
        <v>0</v>
      </c>
      <c r="E31" s="25">
        <v>0</v>
      </c>
      <c r="F31" s="25">
        <v>0</v>
      </c>
      <c r="G31" s="25">
        <v>325</v>
      </c>
      <c r="H31" s="25">
        <v>0</v>
      </c>
      <c r="I31" s="25">
        <v>0</v>
      </c>
      <c r="J31" s="25">
        <v>0</v>
      </c>
      <c r="K31" s="25">
        <v>325</v>
      </c>
      <c r="L31" s="25">
        <v>0</v>
      </c>
      <c r="M31" s="25">
        <v>0</v>
      </c>
      <c r="N31" s="25">
        <v>0</v>
      </c>
      <c r="O31" s="25">
        <v>325</v>
      </c>
      <c r="P31" s="25">
        <v>0</v>
      </c>
      <c r="Q31" s="25">
        <v>0</v>
      </c>
      <c r="R31" s="25">
        <v>0</v>
      </c>
      <c r="S31" s="25">
        <v>0</v>
      </c>
      <c r="T31" s="25">
        <v>325</v>
      </c>
      <c r="U31" s="25">
        <v>0</v>
      </c>
      <c r="V31" s="25">
        <v>0</v>
      </c>
      <c r="W31" s="25">
        <v>0</v>
      </c>
      <c r="X31" s="25">
        <v>325</v>
      </c>
      <c r="Y31" s="25">
        <v>0</v>
      </c>
      <c r="Z31" s="25">
        <v>0</v>
      </c>
      <c r="AA31" s="25">
        <v>0</v>
      </c>
      <c r="AB31" s="25">
        <v>325</v>
      </c>
      <c r="AC31" s="25">
        <v>0</v>
      </c>
      <c r="AD31" s="25">
        <v>0</v>
      </c>
      <c r="AE31" s="25">
        <v>0</v>
      </c>
      <c r="AF31" s="25">
        <v>0</v>
      </c>
      <c r="AG31" s="25">
        <v>325</v>
      </c>
      <c r="AH31" s="25">
        <v>0</v>
      </c>
      <c r="AI31" s="25">
        <v>0</v>
      </c>
      <c r="AJ31" s="25">
        <v>0</v>
      </c>
      <c r="AK31" s="25">
        <v>325</v>
      </c>
      <c r="AL31" s="25">
        <v>0</v>
      </c>
      <c r="AM31" s="25">
        <v>0</v>
      </c>
      <c r="AN31" s="25">
        <v>0</v>
      </c>
      <c r="AO31" s="25">
        <v>325</v>
      </c>
      <c r="AP31" s="25">
        <v>0</v>
      </c>
      <c r="AQ31" s="25">
        <v>0</v>
      </c>
      <c r="AR31" s="25">
        <v>0</v>
      </c>
      <c r="AS31" s="25">
        <v>0</v>
      </c>
      <c r="AT31" s="25">
        <v>325</v>
      </c>
      <c r="AU31" s="25">
        <v>0</v>
      </c>
      <c r="AV31" s="25">
        <v>0</v>
      </c>
      <c r="AW31" s="25">
        <v>0</v>
      </c>
      <c r="AX31" s="25">
        <v>325</v>
      </c>
      <c r="AY31" s="25">
        <v>0</v>
      </c>
      <c r="AZ31" s="25">
        <v>0</v>
      </c>
      <c r="BA31" s="25">
        <v>0</v>
      </c>
      <c r="BB31" s="25">
        <v>325</v>
      </c>
      <c r="BC31" s="26">
        <f ca="1">SUM(OFFSET($B31,0,1,1,Assumptions!$B$7))</f>
        <v>975</v>
      </c>
      <c r="BD31" s="26">
        <f ca="1">SUM(OFFSET($B31,0,1+Assumptions!$B$7,1,SUM(Assumptions!$B$8)))</f>
        <v>975</v>
      </c>
      <c r="BE31" s="26">
        <f ca="1">SUM(OFFSET($B31,0,1+SUM(Assumptions!$B$7:$B$8),1,SUM(Assumptions!$B$9)))</f>
        <v>975</v>
      </c>
      <c r="BF31" s="26">
        <f ca="1">SUM(OFFSET($B31,0,1+SUM(Assumptions!$B$7:$B$9),1,SUM(Assumptions!$B$10)))</f>
        <v>975</v>
      </c>
      <c r="BG31" s="26">
        <f t="shared" ca="1" si="3"/>
        <v>3900</v>
      </c>
    </row>
    <row r="32" spans="1:59" s="8" customFormat="1" ht="15" customHeight="1" x14ac:dyDescent="0.35">
      <c r="A32" s="20"/>
      <c r="B32" s="24" t="s">
        <v>16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3280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6">
        <f ca="1">SUM(OFFSET($B32,0,1,1,Assumptions!$B$7))</f>
        <v>3280</v>
      </c>
      <c r="BD32" s="26">
        <f ca="1">SUM(OFFSET($B32,0,1+Assumptions!$B$7,1,SUM(Assumptions!$B$8)))</f>
        <v>0</v>
      </c>
      <c r="BE32" s="26">
        <f ca="1">SUM(OFFSET($B32,0,1+SUM(Assumptions!$B$7:$B$8),1,SUM(Assumptions!$B$9)))</f>
        <v>0</v>
      </c>
      <c r="BF32" s="26">
        <f ca="1">SUM(OFFSET($B32,0,1+SUM(Assumptions!$B$7:$B$9),1,SUM(Assumptions!$B$10)))</f>
        <v>0</v>
      </c>
      <c r="BG32" s="26">
        <f t="shared" ca="1" si="3"/>
        <v>3280</v>
      </c>
    </row>
    <row r="33" spans="1:59" s="8" customFormat="1" ht="15" customHeight="1" x14ac:dyDescent="0.35">
      <c r="A33" s="20"/>
      <c r="B33" s="24" t="s">
        <v>17</v>
      </c>
      <c r="C33" s="25">
        <v>0</v>
      </c>
      <c r="D33" s="25">
        <v>0</v>
      </c>
      <c r="E33" s="25">
        <v>0</v>
      </c>
      <c r="F33" s="25">
        <v>0</v>
      </c>
      <c r="G33" s="25">
        <v>2745</v>
      </c>
      <c r="H33" s="25">
        <v>0</v>
      </c>
      <c r="I33" s="25">
        <v>0</v>
      </c>
      <c r="J33" s="25">
        <v>0</v>
      </c>
      <c r="K33" s="25">
        <v>2745</v>
      </c>
      <c r="L33" s="25">
        <v>0</v>
      </c>
      <c r="M33" s="25">
        <v>0</v>
      </c>
      <c r="N33" s="25">
        <v>0</v>
      </c>
      <c r="O33" s="25">
        <v>2745</v>
      </c>
      <c r="P33" s="25">
        <v>0</v>
      </c>
      <c r="Q33" s="25">
        <v>0</v>
      </c>
      <c r="R33" s="25">
        <v>0</v>
      </c>
      <c r="S33" s="25">
        <v>0</v>
      </c>
      <c r="T33" s="25">
        <v>2745</v>
      </c>
      <c r="U33" s="25">
        <v>0</v>
      </c>
      <c r="V33" s="25">
        <v>0</v>
      </c>
      <c r="W33" s="25">
        <v>0</v>
      </c>
      <c r="X33" s="25">
        <v>2745</v>
      </c>
      <c r="Y33" s="25">
        <v>0</v>
      </c>
      <c r="Z33" s="25">
        <v>0</v>
      </c>
      <c r="AA33" s="25">
        <v>0</v>
      </c>
      <c r="AB33" s="25">
        <v>2745</v>
      </c>
      <c r="AC33" s="25">
        <v>0</v>
      </c>
      <c r="AD33" s="25">
        <v>0</v>
      </c>
      <c r="AE33" s="25">
        <v>0</v>
      </c>
      <c r="AF33" s="25">
        <v>0</v>
      </c>
      <c r="AG33" s="25">
        <v>2745</v>
      </c>
      <c r="AH33" s="25">
        <v>0</v>
      </c>
      <c r="AI33" s="25">
        <v>0</v>
      </c>
      <c r="AJ33" s="25">
        <v>0</v>
      </c>
      <c r="AK33" s="25">
        <v>2745</v>
      </c>
      <c r="AL33" s="25">
        <v>0</v>
      </c>
      <c r="AM33" s="25">
        <v>0</v>
      </c>
      <c r="AN33" s="25">
        <v>0</v>
      </c>
      <c r="AO33" s="25">
        <v>2745</v>
      </c>
      <c r="AP33" s="25">
        <v>0</v>
      </c>
      <c r="AQ33" s="25">
        <v>0</v>
      </c>
      <c r="AR33" s="25">
        <v>0</v>
      </c>
      <c r="AS33" s="25">
        <v>0</v>
      </c>
      <c r="AT33" s="25">
        <v>2745</v>
      </c>
      <c r="AU33" s="25">
        <v>0</v>
      </c>
      <c r="AV33" s="25">
        <v>0</v>
      </c>
      <c r="AW33" s="25">
        <v>0</v>
      </c>
      <c r="AX33" s="25">
        <v>2745</v>
      </c>
      <c r="AY33" s="25">
        <v>0</v>
      </c>
      <c r="AZ33" s="25">
        <v>0</v>
      </c>
      <c r="BA33" s="25">
        <v>0</v>
      </c>
      <c r="BB33" s="25">
        <v>2745</v>
      </c>
      <c r="BC33" s="26">
        <f ca="1">SUM(OFFSET($B33,0,1,1,Assumptions!$B$7))</f>
        <v>8235</v>
      </c>
      <c r="BD33" s="26">
        <f ca="1">SUM(OFFSET($B33,0,1+Assumptions!$B$7,1,SUM(Assumptions!$B$8)))</f>
        <v>8235</v>
      </c>
      <c r="BE33" s="26">
        <f ca="1">SUM(OFFSET($B33,0,1+SUM(Assumptions!$B$7:$B$8),1,SUM(Assumptions!$B$9)))</f>
        <v>8235</v>
      </c>
      <c r="BF33" s="26">
        <f ca="1">SUM(OFFSET($B33,0,1+SUM(Assumptions!$B$7:$B$9),1,SUM(Assumptions!$B$10)))</f>
        <v>8235</v>
      </c>
      <c r="BG33" s="26">
        <f t="shared" ca="1" si="3"/>
        <v>32940</v>
      </c>
    </row>
    <row r="34" spans="1:59" s="8" customFormat="1" ht="15" customHeight="1" x14ac:dyDescent="0.35">
      <c r="A34" s="20"/>
      <c r="B34" s="24" t="s">
        <v>27</v>
      </c>
      <c r="C34" s="25">
        <v>0</v>
      </c>
      <c r="D34" s="25">
        <v>0</v>
      </c>
      <c r="E34" s="25">
        <v>5540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6200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2100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3350</v>
      </c>
      <c r="BA34" s="25">
        <v>0</v>
      </c>
      <c r="BB34" s="25">
        <v>0</v>
      </c>
      <c r="BC34" s="26">
        <f ca="1">SUM(OFFSET($B34,0,1,1,Assumptions!$B$7))</f>
        <v>5540</v>
      </c>
      <c r="BD34" s="26">
        <f ca="1">SUM(OFFSET($B34,0,1+Assumptions!$B$7,1,SUM(Assumptions!$B$8)))</f>
        <v>6200</v>
      </c>
      <c r="BE34" s="26">
        <f ca="1">SUM(OFFSET($B34,0,1+SUM(Assumptions!$B$7:$B$8),1,SUM(Assumptions!$B$9)))</f>
        <v>2100</v>
      </c>
      <c r="BF34" s="26">
        <f ca="1">SUM(OFFSET($B34,0,1+SUM(Assumptions!$B$7:$B$9),1,SUM(Assumptions!$B$10)))</f>
        <v>3350</v>
      </c>
      <c r="BG34" s="26">
        <f t="shared" ca="1" si="3"/>
        <v>17190</v>
      </c>
    </row>
    <row r="35" spans="1:59" s="8" customFormat="1" ht="15" customHeight="1" x14ac:dyDescent="0.35">
      <c r="A35" s="20"/>
      <c r="B35" s="24" t="s">
        <v>8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3500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810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6">
        <f ca="1">SUM(OFFSET($B35,0,1,1,Assumptions!$B$7))</f>
        <v>0</v>
      </c>
      <c r="BD35" s="26">
        <f ca="1">SUM(OFFSET($B35,0,1+Assumptions!$B$7,1,SUM(Assumptions!$B$8)))</f>
        <v>3500</v>
      </c>
      <c r="BE35" s="26">
        <f ca="1">SUM(OFFSET($B35,0,1+SUM(Assumptions!$B$7:$B$8),1,SUM(Assumptions!$B$9)))</f>
        <v>810</v>
      </c>
      <c r="BF35" s="26">
        <f ca="1">SUM(OFFSET($B35,0,1+SUM(Assumptions!$B$7:$B$9),1,SUM(Assumptions!$B$10)))</f>
        <v>0</v>
      </c>
      <c r="BG35" s="26">
        <f t="shared" ca="1" si="3"/>
        <v>4310</v>
      </c>
    </row>
    <row r="36" spans="1:59" s="11" customFormat="1" ht="15" customHeight="1" x14ac:dyDescent="0.35">
      <c r="B36" s="2" t="s">
        <v>56</v>
      </c>
      <c r="C36" s="31">
        <f t="shared" ref="C36:BF36" ca="1" si="4">SUM(OFFSET($B$12,1,COLUMN(C12)-2,ROW($B$36)-ROW($B$12)-1,1))</f>
        <v>18700</v>
      </c>
      <c r="D36" s="31">
        <f t="shared" ca="1" si="4"/>
        <v>5800</v>
      </c>
      <c r="E36" s="31">
        <f ca="1">SUM(OFFSET($B$12,1,COLUMN(E12)-2,ROW($B$36)-ROW($B$12)-1,1))</f>
        <v>11340</v>
      </c>
      <c r="F36" s="31">
        <f t="shared" ca="1" si="4"/>
        <v>5800</v>
      </c>
      <c r="G36" s="31">
        <f t="shared" ca="1" si="4"/>
        <v>19389</v>
      </c>
      <c r="H36" s="31">
        <f t="shared" ca="1" si="4"/>
        <v>25800</v>
      </c>
      <c r="I36" s="31">
        <f t="shared" ca="1" si="4"/>
        <v>9080</v>
      </c>
      <c r="J36" s="31">
        <f t="shared" ca="1" si="4"/>
        <v>20220</v>
      </c>
      <c r="K36" s="31">
        <f t="shared" ca="1" si="4"/>
        <v>19399</v>
      </c>
      <c r="L36" s="31">
        <f t="shared" ca="1" si="4"/>
        <v>22100</v>
      </c>
      <c r="M36" s="31">
        <f t="shared" ca="1" si="4"/>
        <v>7480</v>
      </c>
      <c r="N36" s="31">
        <f t="shared" ca="1" si="4"/>
        <v>5800</v>
      </c>
      <c r="O36" s="31">
        <f t="shared" ca="1" si="4"/>
        <v>36199</v>
      </c>
      <c r="P36" s="31">
        <f t="shared" ca="1" si="4"/>
        <v>17800</v>
      </c>
      <c r="Q36" s="31">
        <f ca="1">SUM(OFFSET($B$12,1,COLUMN(Q12)-2,ROW($B$36)-ROW($B$12)-1,1))</f>
        <v>9300</v>
      </c>
      <c r="R36" s="31">
        <f t="shared" ca="1" si="4"/>
        <v>6720</v>
      </c>
      <c r="S36" s="31">
        <f t="shared" ca="1" si="4"/>
        <v>19600</v>
      </c>
      <c r="T36" s="31">
        <f t="shared" ca="1" si="4"/>
        <v>14999</v>
      </c>
      <c r="U36" s="31">
        <f t="shared" ca="1" si="4"/>
        <v>24800</v>
      </c>
      <c r="V36" s="31">
        <f t="shared" ca="1" si="4"/>
        <v>6830</v>
      </c>
      <c r="W36" s="31">
        <f t="shared" ca="1" si="4"/>
        <v>19320</v>
      </c>
      <c r="X36" s="31">
        <f t="shared" ca="1" si="4"/>
        <v>19399</v>
      </c>
      <c r="Y36" s="31">
        <f t="shared" ca="1" si="4"/>
        <v>17800</v>
      </c>
      <c r="Z36" s="31">
        <f t="shared" ca="1" si="4"/>
        <v>22050</v>
      </c>
      <c r="AA36" s="31">
        <f t="shared" ca="1" si="4"/>
        <v>12700</v>
      </c>
      <c r="AB36" s="31">
        <f t="shared" ca="1" si="4"/>
        <v>28629</v>
      </c>
      <c r="AC36" s="31">
        <f t="shared" ca="1" si="4"/>
        <v>18700</v>
      </c>
      <c r="AD36" s="31">
        <f ca="1">SUM(OFFSET($B$12,1,COLUMN(AD12)-2,ROW($B$36)-ROW($B$12)-1,1))</f>
        <v>8400</v>
      </c>
      <c r="AE36" s="31">
        <f t="shared" ca="1" si="4"/>
        <v>7470</v>
      </c>
      <c r="AF36" s="31">
        <f t="shared" ca="1" si="4"/>
        <v>8500</v>
      </c>
      <c r="AG36" s="31">
        <f t="shared" ca="1" si="4"/>
        <v>16629</v>
      </c>
      <c r="AH36" s="31">
        <f t="shared" ca="1" si="4"/>
        <v>28910</v>
      </c>
      <c r="AI36" s="31">
        <f t="shared" ca="1" si="4"/>
        <v>8320</v>
      </c>
      <c r="AJ36" s="31">
        <f t="shared" ca="1" si="4"/>
        <v>14020</v>
      </c>
      <c r="AK36" s="31">
        <f t="shared" ca="1" si="4"/>
        <v>29409</v>
      </c>
      <c r="AL36" s="31">
        <f t="shared" ca="1" si="4"/>
        <v>20520</v>
      </c>
      <c r="AM36" s="31">
        <f t="shared" ca="1" si="4"/>
        <v>7470</v>
      </c>
      <c r="AN36" s="31">
        <f t="shared" ca="1" si="4"/>
        <v>8600</v>
      </c>
      <c r="AO36" s="31">
        <f t="shared" ca="1" si="4"/>
        <v>38929</v>
      </c>
      <c r="AP36" s="31">
        <f t="shared" ca="1" si="4"/>
        <v>6500</v>
      </c>
      <c r="AQ36" s="31">
        <f t="shared" ca="1" si="4"/>
        <v>19710</v>
      </c>
      <c r="AR36" s="31">
        <f t="shared" ca="1" si="4"/>
        <v>26010</v>
      </c>
      <c r="AS36" s="31">
        <f t="shared" ca="1" si="4"/>
        <v>10420</v>
      </c>
      <c r="AT36" s="31">
        <f t="shared" ca="1" si="4"/>
        <v>16679</v>
      </c>
      <c r="AU36" s="31">
        <f t="shared" ca="1" si="4"/>
        <v>19710</v>
      </c>
      <c r="AV36" s="31">
        <f t="shared" ca="1" si="4"/>
        <v>7470</v>
      </c>
      <c r="AW36" s="31">
        <f t="shared" ca="1" si="4"/>
        <v>6500</v>
      </c>
      <c r="AX36" s="31">
        <f t="shared" ca="1" si="4"/>
        <v>31229</v>
      </c>
      <c r="AY36" s="31">
        <f t="shared" ca="1" si="4"/>
        <v>19710</v>
      </c>
      <c r="AZ36" s="31">
        <f t="shared" ca="1" si="4"/>
        <v>10820</v>
      </c>
      <c r="BA36" s="31">
        <f t="shared" ca="1" si="4"/>
        <v>11353</v>
      </c>
      <c r="BB36" s="31">
        <f t="shared" ca="1" si="4"/>
        <v>32829</v>
      </c>
      <c r="BC36" s="31">
        <f ca="1">SUM(OFFSET($B$12,1,COLUMN(BC12)-2,ROW($B$36)-ROW($B$12)-1,1))</f>
        <v>207107</v>
      </c>
      <c r="BD36" s="31">
        <f ca="1">SUM(OFFSET($B$12,1,COLUMN(BD12)-2,ROW($B$36)-ROW($B$12)-1,1))</f>
        <v>219947</v>
      </c>
      <c r="BE36" s="31">
        <f ca="1">SUM(OFFSET($B$12,1,COLUMN(BE12)-2,ROW($B$36)-ROW($B$12)-1,1))</f>
        <v>215877</v>
      </c>
      <c r="BF36" s="31">
        <f t="shared" ca="1" si="4"/>
        <v>218940</v>
      </c>
      <c r="BG36" s="31">
        <f ca="1">SUM(OFFSET($B$12,1,COLUMN(BG12)-2,ROW($B$36)-ROW($B$12)-1,1))</f>
        <v>861871</v>
      </c>
    </row>
    <row r="37" spans="1:59" ht="15" customHeight="1" x14ac:dyDescent="0.3">
      <c r="C37" s="25"/>
      <c r="D37" s="25"/>
      <c r="E37" s="25"/>
      <c r="F37" s="25"/>
      <c r="G37" s="25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ht="15" customHeight="1" x14ac:dyDescent="0.35">
      <c r="A38" s="20"/>
      <c r="B38" s="7" t="s">
        <v>66</v>
      </c>
      <c r="C38" s="25">
        <v>0</v>
      </c>
      <c r="D38" s="25">
        <v>0</v>
      </c>
      <c r="E38" s="25">
        <v>0</v>
      </c>
      <c r="F38" s="25">
        <v>0</v>
      </c>
      <c r="G38" s="25">
        <v>13333</v>
      </c>
      <c r="H38" s="25">
        <v>0</v>
      </c>
      <c r="I38" s="25">
        <v>0</v>
      </c>
      <c r="J38" s="25">
        <v>0</v>
      </c>
      <c r="K38" s="25">
        <v>13333</v>
      </c>
      <c r="L38" s="25">
        <v>0</v>
      </c>
      <c r="M38" s="25">
        <v>0</v>
      </c>
      <c r="N38" s="25">
        <v>0</v>
      </c>
      <c r="O38" s="25">
        <v>15000</v>
      </c>
      <c r="P38" s="25">
        <v>0</v>
      </c>
      <c r="Q38" s="25">
        <v>0</v>
      </c>
      <c r="R38" s="25">
        <v>0</v>
      </c>
      <c r="S38" s="25">
        <v>0</v>
      </c>
      <c r="T38" s="25">
        <v>15000</v>
      </c>
      <c r="U38" s="25">
        <v>0</v>
      </c>
      <c r="V38" s="25">
        <v>0</v>
      </c>
      <c r="W38" s="25">
        <v>0</v>
      </c>
      <c r="X38" s="25">
        <v>15000</v>
      </c>
      <c r="Y38" s="25">
        <v>0</v>
      </c>
      <c r="Z38" s="25">
        <v>0</v>
      </c>
      <c r="AA38" s="25">
        <v>0</v>
      </c>
      <c r="AB38" s="25">
        <v>16000</v>
      </c>
      <c r="AC38" s="25">
        <v>0</v>
      </c>
      <c r="AD38" s="25">
        <v>0</v>
      </c>
      <c r="AE38" s="25">
        <v>0</v>
      </c>
      <c r="AF38" s="25">
        <v>0</v>
      </c>
      <c r="AG38" s="25">
        <v>16800</v>
      </c>
      <c r="AH38" s="25">
        <v>0</v>
      </c>
      <c r="AI38" s="25">
        <v>0</v>
      </c>
      <c r="AJ38" s="25">
        <v>0</v>
      </c>
      <c r="AK38" s="25">
        <v>16800</v>
      </c>
      <c r="AL38" s="25">
        <v>0</v>
      </c>
      <c r="AM38" s="25">
        <v>0</v>
      </c>
      <c r="AN38" s="25">
        <v>0</v>
      </c>
      <c r="AO38" s="25">
        <v>16800</v>
      </c>
      <c r="AP38" s="25">
        <v>0</v>
      </c>
      <c r="AQ38" s="25">
        <v>0</v>
      </c>
      <c r="AR38" s="25">
        <v>0</v>
      </c>
      <c r="AS38" s="25">
        <v>0</v>
      </c>
      <c r="AT38" s="25">
        <v>16800</v>
      </c>
      <c r="AU38" s="25">
        <v>0</v>
      </c>
      <c r="AV38" s="25">
        <v>0</v>
      </c>
      <c r="AW38" s="25">
        <v>0</v>
      </c>
      <c r="AX38" s="25">
        <v>17200</v>
      </c>
      <c r="AY38" s="25">
        <v>0</v>
      </c>
      <c r="AZ38" s="25">
        <v>0</v>
      </c>
      <c r="BA38" s="25">
        <v>0</v>
      </c>
      <c r="BB38" s="25">
        <v>17200</v>
      </c>
      <c r="BC38" s="26">
        <f ca="1">SUM(OFFSET($B38,0,1,1,Assumptions!$B$7))</f>
        <v>41666</v>
      </c>
      <c r="BD38" s="26">
        <f ca="1">SUM(OFFSET($B38,0,1+Assumptions!$B$7,1,SUM(Assumptions!$B$8)))</f>
        <v>46000</v>
      </c>
      <c r="BE38" s="26">
        <f ca="1">SUM(OFFSET($B38,0,1+SUM(Assumptions!$B$7:$B$8),1,SUM(Assumptions!$B$9)))</f>
        <v>50400</v>
      </c>
      <c r="BF38" s="26">
        <f ca="1">SUM(OFFSET($B38,0,1+SUM(Assumptions!$B$7:$B$9),1,SUM(Assumptions!$B$10)))</f>
        <v>51200</v>
      </c>
      <c r="BG38" s="26">
        <f ca="1">SUM(BC38:BF38)</f>
        <v>189266</v>
      </c>
    </row>
    <row r="39" spans="1:59" ht="15" customHeight="1" x14ac:dyDescent="0.3">
      <c r="C39" s="25"/>
      <c r="D39" s="25"/>
      <c r="E39" s="25"/>
      <c r="F39" s="25"/>
      <c r="G39" s="25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59" s="11" customFormat="1" ht="15" customHeight="1" x14ac:dyDescent="0.35">
      <c r="B40" s="2" t="s">
        <v>63</v>
      </c>
      <c r="C40" s="26">
        <f ca="1">SUM(C9,-C36,-C38)</f>
        <v>9300</v>
      </c>
      <c r="D40" s="26">
        <f t="shared" ref="D40:BF40" ca="1" si="5">SUM(D9,-D36,-D38)</f>
        <v>17925</v>
      </c>
      <c r="E40" s="26">
        <f ca="1">SUM(E9,-E36,-E38)</f>
        <v>16035</v>
      </c>
      <c r="F40" s="26">
        <f t="shared" ca="1" si="5"/>
        <v>25225</v>
      </c>
      <c r="G40" s="26">
        <f t="shared" ca="1" si="5"/>
        <v>-3282</v>
      </c>
      <c r="H40" s="26">
        <f t="shared" ca="1" si="5"/>
        <v>3088</v>
      </c>
      <c r="I40" s="26">
        <f t="shared" ca="1" si="5"/>
        <v>16404</v>
      </c>
      <c r="J40" s="26">
        <f t="shared" ca="1" si="5"/>
        <v>9220</v>
      </c>
      <c r="K40" s="26">
        <f t="shared" ca="1" si="5"/>
        <v>-2556</v>
      </c>
      <c r="L40" s="26">
        <f t="shared" ca="1" si="5"/>
        <v>9180</v>
      </c>
      <c r="M40" s="26">
        <f t="shared" ca="1" si="5"/>
        <v>23064</v>
      </c>
      <c r="N40" s="26">
        <f t="shared" ca="1" si="5"/>
        <v>23640</v>
      </c>
      <c r="O40" s="26">
        <f t="shared" ca="1" si="5"/>
        <v>-23224</v>
      </c>
      <c r="P40" s="26">
        <f t="shared" ca="1" si="5"/>
        <v>15770</v>
      </c>
      <c r="Q40" s="26">
        <f ca="1">SUM(Q9,-Q36,-Q38)</f>
        <v>22405</v>
      </c>
      <c r="R40" s="26">
        <f t="shared" ca="1" si="5"/>
        <v>24052.5</v>
      </c>
      <c r="S40" s="26">
        <f t="shared" ca="1" si="5"/>
        <v>11508.2</v>
      </c>
      <c r="T40" s="26">
        <f t="shared" ca="1" si="5"/>
        <v>214</v>
      </c>
      <c r="U40" s="26">
        <f t="shared" ca="1" si="5"/>
        <v>6643.9000000000015</v>
      </c>
      <c r="V40" s="26">
        <f t="shared" ca="1" si="5"/>
        <v>26740</v>
      </c>
      <c r="W40" s="26">
        <f t="shared" ca="1" si="5"/>
        <v>12758</v>
      </c>
      <c r="X40" s="26">
        <f t="shared" ca="1" si="5"/>
        <v>-1817.4500000000007</v>
      </c>
      <c r="Y40" s="26">
        <f t="shared" ca="1" si="5"/>
        <v>12942.66</v>
      </c>
      <c r="Z40" s="26">
        <f t="shared" ca="1" si="5"/>
        <v>15647.919999999998</v>
      </c>
      <c r="AA40" s="26">
        <f t="shared" ca="1" si="5"/>
        <v>22760</v>
      </c>
      <c r="AB40" s="26">
        <f t="shared" ca="1" si="5"/>
        <v>-7987</v>
      </c>
      <c r="AC40" s="26">
        <f t="shared" ca="1" si="5"/>
        <v>14632.400000000001</v>
      </c>
      <c r="AD40" s="26">
        <f ca="1">SUM(AD9,-AD36,-AD38)</f>
        <v>28439</v>
      </c>
      <c r="AE40" s="26">
        <f t="shared" ca="1" si="5"/>
        <v>31142</v>
      </c>
      <c r="AF40" s="26">
        <f t="shared" ca="1" si="5"/>
        <v>31372.800000000003</v>
      </c>
      <c r="AG40" s="26">
        <f t="shared" ca="1" si="5"/>
        <v>8098.5999999999985</v>
      </c>
      <c r="AH40" s="26">
        <f t="shared" ca="1" si="5"/>
        <v>13878.400000000001</v>
      </c>
      <c r="AI40" s="26">
        <f t="shared" ca="1" si="5"/>
        <v>31042.200000000004</v>
      </c>
      <c r="AJ40" s="26">
        <f t="shared" ca="1" si="5"/>
        <v>25620.800000000003</v>
      </c>
      <c r="AK40" s="26">
        <f t="shared" ca="1" si="5"/>
        <v>-5354.2999999999956</v>
      </c>
      <c r="AL40" s="26">
        <f t="shared" ca="1" si="5"/>
        <v>20673</v>
      </c>
      <c r="AM40" s="26">
        <f t="shared" ca="1" si="5"/>
        <v>34200.6</v>
      </c>
      <c r="AN40" s="26">
        <f t="shared" ca="1" si="5"/>
        <v>31128.36</v>
      </c>
      <c r="AO40" s="26">
        <f t="shared" ca="1" si="5"/>
        <v>-20092.080000000002</v>
      </c>
      <c r="AP40" s="26">
        <f t="shared" ca="1" si="5"/>
        <v>30398.58</v>
      </c>
      <c r="AQ40" s="26">
        <f t="shared" ca="1" si="5"/>
        <v>13743</v>
      </c>
      <c r="AR40" s="26">
        <f t="shared" ca="1" si="5"/>
        <v>3190.5000000000036</v>
      </c>
      <c r="AS40" s="26">
        <f t="shared" ca="1" si="5"/>
        <v>16431.5</v>
      </c>
      <c r="AT40" s="26">
        <f t="shared" ca="1" si="5"/>
        <v>-10880</v>
      </c>
      <c r="AU40" s="26">
        <f t="shared" ca="1" si="5"/>
        <v>580.5</v>
      </c>
      <c r="AV40" s="26">
        <f t="shared" ca="1" si="5"/>
        <v>28696.5</v>
      </c>
      <c r="AW40" s="26">
        <f t="shared" ca="1" si="5"/>
        <v>36340.9</v>
      </c>
      <c r="AX40" s="26">
        <f t="shared" ca="1" si="5"/>
        <v>-5588.0999999999985</v>
      </c>
      <c r="AY40" s="26">
        <f t="shared" ca="1" si="5"/>
        <v>24921</v>
      </c>
      <c r="AZ40" s="26">
        <f t="shared" ca="1" si="5"/>
        <v>33284.5</v>
      </c>
      <c r="BA40" s="26">
        <f t="shared" ca="1" si="5"/>
        <v>29025.5</v>
      </c>
      <c r="BB40" s="26">
        <f t="shared" ca="1" si="5"/>
        <v>-7730.7999999999956</v>
      </c>
      <c r="BC40" s="26">
        <f ca="1">SUM(BC9,-BC36,-BC38)</f>
        <v>124019</v>
      </c>
      <c r="BD40" s="26">
        <f ca="1">SUM(BD9,-BD36,-BD38)</f>
        <v>161637.72999999998</v>
      </c>
      <c r="BE40" s="26">
        <f ca="1">SUM(BE9,-BE36,-BE38)</f>
        <v>244781.77999999997</v>
      </c>
      <c r="BF40" s="26">
        <f t="shared" ca="1" si="5"/>
        <v>192413.58000000002</v>
      </c>
      <c r="BG40" s="26">
        <f ca="1">SUM(BG9,-BG36,-BG38)</f>
        <v>722852.09000000008</v>
      </c>
    </row>
    <row r="41" spans="1:59" ht="15" customHeight="1" x14ac:dyDescent="0.3">
      <c r="C41" s="25"/>
      <c r="D41" s="25"/>
      <c r="E41" s="25"/>
      <c r="F41" s="25"/>
      <c r="G41" s="25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</row>
    <row r="42" spans="1:59" s="8" customFormat="1" ht="15" customHeight="1" x14ac:dyDescent="0.35">
      <c r="A42" s="20"/>
      <c r="B42" s="24" t="s">
        <v>47</v>
      </c>
      <c r="C42" s="25">
        <v>0</v>
      </c>
      <c r="D42" s="25">
        <v>8250</v>
      </c>
      <c r="E42" s="25">
        <v>0</v>
      </c>
      <c r="F42" s="25">
        <v>0</v>
      </c>
      <c r="G42" s="25">
        <v>0</v>
      </c>
      <c r="H42" s="25">
        <v>8140</v>
      </c>
      <c r="I42" s="25">
        <v>0</v>
      </c>
      <c r="J42" s="25">
        <v>0</v>
      </c>
      <c r="K42" s="25">
        <v>0</v>
      </c>
      <c r="L42" s="25">
        <v>0</v>
      </c>
      <c r="M42" s="25">
        <v>8030</v>
      </c>
      <c r="N42" s="25">
        <v>0</v>
      </c>
      <c r="O42" s="25">
        <v>0</v>
      </c>
      <c r="P42" s="25">
        <v>0</v>
      </c>
      <c r="Q42" s="25">
        <v>8290</v>
      </c>
      <c r="R42" s="25">
        <v>0</v>
      </c>
      <c r="S42" s="25">
        <v>0</v>
      </c>
      <c r="T42" s="25">
        <v>0</v>
      </c>
      <c r="U42" s="25">
        <v>8180</v>
      </c>
      <c r="V42" s="25">
        <v>0</v>
      </c>
      <c r="W42" s="25">
        <v>0</v>
      </c>
      <c r="X42" s="25">
        <v>0</v>
      </c>
      <c r="Y42" s="25">
        <v>0</v>
      </c>
      <c r="Z42" s="25">
        <v>8060</v>
      </c>
      <c r="AA42" s="25">
        <v>0</v>
      </c>
      <c r="AB42" s="25">
        <v>0</v>
      </c>
      <c r="AC42" s="25">
        <v>0</v>
      </c>
      <c r="AD42" s="25">
        <v>7940</v>
      </c>
      <c r="AE42" s="25">
        <v>0</v>
      </c>
      <c r="AF42" s="25">
        <v>0</v>
      </c>
      <c r="AG42" s="25">
        <v>0</v>
      </c>
      <c r="AH42" s="25">
        <v>7820</v>
      </c>
      <c r="AI42" s="25">
        <v>0</v>
      </c>
      <c r="AJ42" s="25">
        <v>0</v>
      </c>
      <c r="AK42" s="25">
        <v>0</v>
      </c>
      <c r="AL42" s="25">
        <v>0</v>
      </c>
      <c r="AM42" s="25">
        <v>7700</v>
      </c>
      <c r="AN42" s="25">
        <v>0</v>
      </c>
      <c r="AO42" s="25">
        <v>0</v>
      </c>
      <c r="AP42" s="25">
        <v>0</v>
      </c>
      <c r="AQ42" s="25">
        <v>7580</v>
      </c>
      <c r="AR42" s="25">
        <v>0</v>
      </c>
      <c r="AS42" s="25">
        <v>0</v>
      </c>
      <c r="AT42" s="25">
        <v>0</v>
      </c>
      <c r="AU42" s="25">
        <v>0</v>
      </c>
      <c r="AV42" s="25">
        <v>7460</v>
      </c>
      <c r="AW42" s="25">
        <v>0</v>
      </c>
      <c r="AX42" s="25">
        <v>0</v>
      </c>
      <c r="AY42" s="25">
        <v>0</v>
      </c>
      <c r="AZ42" s="25">
        <v>7330</v>
      </c>
      <c r="BA42" s="25">
        <v>0</v>
      </c>
      <c r="BB42" s="25">
        <v>0</v>
      </c>
      <c r="BC42" s="26">
        <f ca="1">SUM(OFFSET($B42,0,1,1,Assumptions!$B$7))</f>
        <v>24420</v>
      </c>
      <c r="BD42" s="26">
        <f ca="1">SUM(OFFSET($B42,0,1+Assumptions!$B$7,1,SUM(Assumptions!$B$8)))</f>
        <v>24530</v>
      </c>
      <c r="BE42" s="26">
        <f ca="1">SUM(OFFSET($B42,0,1+SUM(Assumptions!$B$7:$B$8),1,SUM(Assumptions!$B$9)))</f>
        <v>23460</v>
      </c>
      <c r="BF42" s="26">
        <f ca="1">SUM(OFFSET($B42,0,1+SUM(Assumptions!$B$7:$B$9),1,SUM(Assumptions!$B$10)))</f>
        <v>22370</v>
      </c>
      <c r="BG42" s="26">
        <f ca="1">SUM(BC42:BF42)</f>
        <v>94780</v>
      </c>
    </row>
    <row r="43" spans="1:59" s="8" customFormat="1" ht="15" customHeight="1" x14ac:dyDescent="0.35">
      <c r="A43" s="207"/>
      <c r="B43" s="24" t="s">
        <v>41</v>
      </c>
      <c r="C43" s="25">
        <f ca="1">IF(SUM(OFFSET($B$40,0,1,1,COLUMN(C$4)-COLUMN($B$4)))-SUM(OFFSET($B$42,0,1,1,COLUMN(C$4)-COLUMN($B$4)))&lt;0,-SUM(OFFSET($B$43,0,0,1,COLUMN(C$4)-COLUMN($B$4))),((SUM(OFFSET($B$40,0,1,1,COLUMN(C$4)-COLUMN($B$4)))-SUM(OFFSET($B$42,0,1,1,COLUMN(C$4)-COLUMN($B$4))))*Assumptions!$B$37)-SUM(OFFSET($B$43,0,0,1,COLUMN(C$4)-COLUMN($B$4))))</f>
        <v>2604.0000000000005</v>
      </c>
      <c r="D43" s="25">
        <f ca="1">IF(SUM(OFFSET($B$40,0,1,1,COLUMN(D$4)-COLUMN($B$4)))-SUM(OFFSET($B$42,0,1,1,COLUMN(D$4)-COLUMN($B$4)))&lt;0,-SUM(OFFSET($B$43,0,0,1,COLUMN(D$4)-COLUMN($B$4))),((SUM(OFFSET($B$40,0,1,1,COLUMN(D$4)-COLUMN($B$4)))-SUM(OFFSET($B$42,0,1,1,COLUMN(D$4)-COLUMN($B$4))))*Assumptions!$B$37)-SUM(OFFSET($B$43,0,0,1,COLUMN(D$4)-COLUMN($B$4))))</f>
        <v>2709.0000000000005</v>
      </c>
      <c r="E43" s="25">
        <f ca="1">IF(SUM(OFFSET($B$40,0,1,1,COLUMN(E$4)-COLUMN($B$4)))-SUM(OFFSET($B$42,0,1,1,COLUMN(E$4)-COLUMN($B$4)))&lt;0,-SUM(OFFSET($B$43,0,0,1,COLUMN(E$4)-COLUMN($B$4))),((SUM(OFFSET($B$40,0,1,1,COLUMN(E$4)-COLUMN($B$4)))-SUM(OFFSET($B$42,0,1,1,COLUMN(E$4)-COLUMN($B$4))))*Assumptions!$B$37)-SUM(OFFSET($B$43,0,0,1,COLUMN(E$4)-COLUMN($B$4))))</f>
        <v>4489.8</v>
      </c>
      <c r="F43" s="25">
        <f ca="1">IF(SUM(OFFSET($B$40,0,1,1,COLUMN(F$4)-COLUMN($B$4)))-SUM(OFFSET($B$42,0,1,1,COLUMN(F$4)-COLUMN($B$4)))&lt;0,-SUM(OFFSET($B$43,0,0,1,COLUMN(F$4)-COLUMN($B$4))),((SUM(OFFSET($B$40,0,1,1,COLUMN(F$4)-COLUMN($B$4)))-SUM(OFFSET($B$42,0,1,1,COLUMN(F$4)-COLUMN($B$4))))*Assumptions!$B$37)-SUM(OFFSET($B$43,0,0,1,COLUMN(F$4)-COLUMN($B$4))))</f>
        <v>7063.0000000000018</v>
      </c>
      <c r="G43" s="25">
        <f ca="1">IF(SUM(OFFSET($B$40,0,1,1,COLUMN(G$4)-COLUMN($B$4)))-SUM(OFFSET($B$42,0,1,1,COLUMN(G$4)-COLUMN($B$4)))&lt;0,-SUM(OFFSET($B$43,0,0,1,COLUMN(G$4)-COLUMN($B$4))),((SUM(OFFSET($B$40,0,1,1,COLUMN(G$4)-COLUMN($B$4)))-SUM(OFFSET($B$42,0,1,1,COLUMN(G$4)-COLUMN($B$4))))*Assumptions!$B$37)-SUM(OFFSET($B$43,0,0,1,COLUMN(G$4)-COLUMN($B$4))))</f>
        <v>-918.96000000000095</v>
      </c>
      <c r="H43" s="25">
        <f ca="1">IF(SUM(OFFSET($B$40,0,1,1,COLUMN(H$4)-COLUMN($B$4)))-SUM(OFFSET($B$42,0,1,1,COLUMN(H$4)-COLUMN($B$4)))&lt;0,-SUM(OFFSET($B$43,0,0,1,COLUMN(H$4)-COLUMN($B$4))),((SUM(OFFSET($B$40,0,1,1,COLUMN(H$4)-COLUMN($B$4)))-SUM(OFFSET($B$42,0,1,1,COLUMN(H$4)-COLUMN($B$4))))*Assumptions!$B$37)-SUM(OFFSET($B$43,0,0,1,COLUMN(H$4)-COLUMN($B$4))))</f>
        <v>-1414.5600000000013</v>
      </c>
      <c r="I43" s="25">
        <f ca="1">IF(SUM(OFFSET($B$40,0,1,1,COLUMN(I$4)-COLUMN($B$4)))-SUM(OFFSET($B$42,0,1,1,COLUMN(I$4)-COLUMN($B$4)))&lt;0,-SUM(OFFSET($B$43,0,0,1,COLUMN(I$4)-COLUMN($B$4))),((SUM(OFFSET($B$40,0,1,1,COLUMN(I$4)-COLUMN($B$4)))-SUM(OFFSET($B$42,0,1,1,COLUMN(I$4)-COLUMN($B$4))))*Assumptions!$B$37)-SUM(OFFSET($B$43,0,0,1,COLUMN(I$4)-COLUMN($B$4))))</f>
        <v>4593.1200000000008</v>
      </c>
      <c r="J43" s="25">
        <f ca="1">IF(SUM(OFFSET($B$40,0,1,1,COLUMN(J$4)-COLUMN($B$4)))-SUM(OFFSET($B$42,0,1,1,COLUMN(J$4)-COLUMN($B$4)))&lt;0,-SUM(OFFSET($B$43,0,0,1,COLUMN(J$4)-COLUMN($B$4))),((SUM(OFFSET($B$40,0,1,1,COLUMN(J$4)-COLUMN($B$4)))-SUM(OFFSET($B$42,0,1,1,COLUMN(J$4)-COLUMN($B$4))))*Assumptions!$B$37)-SUM(OFFSET($B$43,0,0,1,COLUMN(J$4)-COLUMN($B$4))))</f>
        <v>2581.6000000000022</v>
      </c>
      <c r="K43" s="25">
        <f ca="1">IF(SUM(OFFSET($B$40,0,1,1,COLUMN(K$4)-COLUMN($B$4)))-SUM(OFFSET($B$42,0,1,1,COLUMN(K$4)-COLUMN($B$4)))&lt;0,-SUM(OFFSET($B$43,0,0,1,COLUMN(K$4)-COLUMN($B$4))),((SUM(OFFSET($B$40,0,1,1,COLUMN(K$4)-COLUMN($B$4)))-SUM(OFFSET($B$42,0,1,1,COLUMN(K$4)-COLUMN($B$4))))*Assumptions!$B$37)-SUM(OFFSET($B$43,0,0,1,COLUMN(K$4)-COLUMN($B$4))))</f>
        <v>-715.68000000000029</v>
      </c>
      <c r="L43" s="25">
        <f ca="1">IF(SUM(OFFSET($B$40,0,1,1,COLUMN(L$4)-COLUMN($B$4)))-SUM(OFFSET($B$42,0,1,1,COLUMN(L$4)-COLUMN($B$4)))&lt;0,-SUM(OFFSET($B$43,0,0,1,COLUMN(L$4)-COLUMN($B$4))),((SUM(OFFSET($B$40,0,1,1,COLUMN(L$4)-COLUMN($B$4)))-SUM(OFFSET($B$42,0,1,1,COLUMN(L$4)-COLUMN($B$4))))*Assumptions!$B$37)-SUM(OFFSET($B$43,0,0,1,COLUMN(L$4)-COLUMN($B$4))))</f>
        <v>2570.3999999999978</v>
      </c>
      <c r="M43" s="25">
        <f ca="1">IF(SUM(OFFSET($B$40,0,1,1,COLUMN(M$4)-COLUMN($B$4)))-SUM(OFFSET($B$42,0,1,1,COLUMN(M$4)-COLUMN($B$4)))&lt;0,-SUM(OFFSET($B$43,0,0,1,COLUMN(M$4)-COLUMN($B$4))),((SUM(OFFSET($B$40,0,1,1,COLUMN(M$4)-COLUMN($B$4)))-SUM(OFFSET($B$42,0,1,1,COLUMN(M$4)-COLUMN($B$4))))*Assumptions!$B$37)-SUM(OFFSET($B$43,0,0,1,COLUMN(M$4)-COLUMN($B$4))))</f>
        <v>4209.5200000000004</v>
      </c>
      <c r="N43" s="25">
        <f ca="1">IF(SUM(OFFSET($B$40,0,1,1,COLUMN(N$4)-COLUMN($B$4)))-SUM(OFFSET($B$42,0,1,1,COLUMN(N$4)-COLUMN($B$4)))&lt;0,-SUM(OFFSET($B$43,0,0,1,COLUMN(N$4)-COLUMN($B$4))),((SUM(OFFSET($B$40,0,1,1,COLUMN(N$4)-COLUMN($B$4)))-SUM(OFFSET($B$42,0,1,1,COLUMN(N$4)-COLUMN($B$4))))*Assumptions!$B$37)-SUM(OFFSET($B$43,0,0,1,COLUMN(N$4)-COLUMN($B$4))))</f>
        <v>6619.2000000000007</v>
      </c>
      <c r="O43" s="25">
        <f ca="1">IF(SUM(OFFSET($B$40,0,1,1,COLUMN(O$4)-COLUMN($B$4)))-SUM(OFFSET($B$42,0,1,1,COLUMN(O$4)-COLUMN($B$4)))&lt;0,-SUM(OFFSET($B$43,0,0,1,COLUMN(O$4)-COLUMN($B$4))),((SUM(OFFSET($B$40,0,1,1,COLUMN(O$4)-COLUMN($B$4)))-SUM(OFFSET($B$42,0,1,1,COLUMN(O$4)-COLUMN($B$4))))*Assumptions!$B$37)-SUM(OFFSET($B$43,0,0,1,COLUMN(O$4)-COLUMN($B$4))))</f>
        <v>-6502.7200000000012</v>
      </c>
      <c r="P43" s="25">
        <f ca="1">IF(SUM(OFFSET($B$40,0,1,1,COLUMN(P$4)-COLUMN($B$4)))-SUM(OFFSET($B$42,0,1,1,COLUMN(P$4)-COLUMN($B$4)))&lt;0,-SUM(OFFSET($B$43,0,0,1,COLUMN(P$4)-COLUMN($B$4))),((SUM(OFFSET($B$40,0,1,1,COLUMN(P$4)-COLUMN($B$4)))-SUM(OFFSET($B$42,0,1,1,COLUMN(P$4)-COLUMN($B$4))))*Assumptions!$B$37)-SUM(OFFSET($B$43,0,0,1,COLUMN(P$4)-COLUMN($B$4))))</f>
        <v>4415.6000000000022</v>
      </c>
      <c r="Q43" s="25">
        <f ca="1">IF(SUM(OFFSET($B$40,0,1,1,COLUMN(Q$4)-COLUMN($B$4)))-SUM(OFFSET($B$42,0,1,1,COLUMN(Q$4)-COLUMN($B$4)))&lt;0,-SUM(OFFSET($B$43,0,0,1,COLUMN(Q$4)-COLUMN($B$4))),((SUM(OFFSET($B$40,0,1,1,COLUMN(Q$4)-COLUMN($B$4)))-SUM(OFFSET($B$42,0,1,1,COLUMN(Q$4)-COLUMN($B$4))))*Assumptions!$B$37)-SUM(OFFSET($B$43,0,0,1,COLUMN(Q$4)-COLUMN($B$4))))</f>
        <v>3952.2000000000007</v>
      </c>
      <c r="R43" s="25">
        <f ca="1">IF(SUM(OFFSET($B$40,0,1,1,COLUMN(R$4)-COLUMN($B$4)))-SUM(OFFSET($B$42,0,1,1,COLUMN(R$4)-COLUMN($B$4)))&lt;0,-SUM(OFFSET($B$43,0,0,1,COLUMN(R$4)-COLUMN($B$4))),((SUM(OFFSET($B$40,0,1,1,COLUMN(R$4)-COLUMN($B$4)))-SUM(OFFSET($B$42,0,1,1,COLUMN(R$4)-COLUMN($B$4))))*Assumptions!$B$37)-SUM(OFFSET($B$43,0,0,1,COLUMN(R$4)-COLUMN($B$4))))</f>
        <v>6734.6999999999971</v>
      </c>
      <c r="S43" s="25">
        <f ca="1">IF(SUM(OFFSET($B$40,0,1,1,COLUMN(S$4)-COLUMN($B$4)))-SUM(OFFSET($B$42,0,1,1,COLUMN(S$4)-COLUMN($B$4)))&lt;0,-SUM(OFFSET($B$43,0,0,1,COLUMN(S$4)-COLUMN($B$4))),((SUM(OFFSET($B$40,0,1,1,COLUMN(S$4)-COLUMN($B$4)))-SUM(OFFSET($B$42,0,1,1,COLUMN(S$4)-COLUMN($B$4))))*Assumptions!$B$37)-SUM(OFFSET($B$43,0,0,1,COLUMN(S$4)-COLUMN($B$4))))</f>
        <v>3222.2960000000094</v>
      </c>
      <c r="T43" s="25">
        <f ca="1">IF(SUM(OFFSET($B$40,0,1,1,COLUMN(T$4)-COLUMN($B$4)))-SUM(OFFSET($B$42,0,1,1,COLUMN(T$4)-COLUMN($B$4)))&lt;0,-SUM(OFFSET($B$43,0,0,1,COLUMN(T$4)-COLUMN($B$4))),((SUM(OFFSET($B$40,0,1,1,COLUMN(T$4)-COLUMN($B$4)))-SUM(OFFSET($B$42,0,1,1,COLUMN(T$4)-COLUMN($B$4))))*Assumptions!$B$37)-SUM(OFFSET($B$43,0,0,1,COLUMN(T$4)-COLUMN($B$4))))</f>
        <v>59.919999999998254</v>
      </c>
      <c r="U43" s="25">
        <f ca="1">IF(SUM(OFFSET($B$40,0,1,1,COLUMN(U$4)-COLUMN($B$4)))-SUM(OFFSET($B$42,0,1,1,COLUMN(U$4)-COLUMN($B$4)))&lt;0,-SUM(OFFSET($B$43,0,0,1,COLUMN(U$4)-COLUMN($B$4))),((SUM(OFFSET($B$40,0,1,1,COLUMN(U$4)-COLUMN($B$4)))-SUM(OFFSET($B$42,0,1,1,COLUMN(U$4)-COLUMN($B$4))))*Assumptions!$B$37)-SUM(OFFSET($B$43,0,0,1,COLUMN(U$4)-COLUMN($B$4))))</f>
        <v>-430.10800000000017</v>
      </c>
      <c r="V43" s="25">
        <f ca="1">IF(SUM(OFFSET($B$40,0,1,1,COLUMN(V$4)-COLUMN($B$4)))-SUM(OFFSET($B$42,0,1,1,COLUMN(V$4)-COLUMN($B$4)))&lt;0,-SUM(OFFSET($B$43,0,0,1,COLUMN(V$4)-COLUMN($B$4))),((SUM(OFFSET($B$40,0,1,1,COLUMN(V$4)-COLUMN($B$4)))-SUM(OFFSET($B$42,0,1,1,COLUMN(V$4)-COLUMN($B$4))))*Assumptions!$B$37)-SUM(OFFSET($B$43,0,0,1,COLUMN(V$4)-COLUMN($B$4))))</f>
        <v>7487.1999999999971</v>
      </c>
      <c r="W43" s="25">
        <f ca="1">IF(SUM(OFFSET($B$40,0,1,1,COLUMN(W$4)-COLUMN($B$4)))-SUM(OFFSET($B$42,0,1,1,COLUMN(W$4)-COLUMN($B$4)))&lt;0,-SUM(OFFSET($B$43,0,0,1,COLUMN(W$4)-COLUMN($B$4))),((SUM(OFFSET($B$40,0,1,1,COLUMN(W$4)-COLUMN($B$4)))-SUM(OFFSET($B$42,0,1,1,COLUMN(W$4)-COLUMN($B$4))))*Assumptions!$B$37)-SUM(OFFSET($B$43,0,0,1,COLUMN(W$4)-COLUMN($B$4))))</f>
        <v>3572.239999999998</v>
      </c>
      <c r="X43" s="25">
        <f ca="1">IF(SUM(OFFSET($B$40,0,1,1,COLUMN(X$4)-COLUMN($B$4)))-SUM(OFFSET($B$42,0,1,1,COLUMN(X$4)-COLUMN($B$4)))&lt;0,-SUM(OFFSET($B$43,0,0,1,COLUMN(X$4)-COLUMN($B$4))),((SUM(OFFSET($B$40,0,1,1,COLUMN(X$4)-COLUMN($B$4)))-SUM(OFFSET($B$42,0,1,1,COLUMN(X$4)-COLUMN($B$4))))*Assumptions!$B$37)-SUM(OFFSET($B$43,0,0,1,COLUMN(X$4)-COLUMN($B$4))))</f>
        <v>-508.8859999999986</v>
      </c>
      <c r="Y43" s="25">
        <f ca="1">IF(SUM(OFFSET($B$40,0,1,1,COLUMN(Y$4)-COLUMN($B$4)))-SUM(OFFSET($B$42,0,1,1,COLUMN(Y$4)-COLUMN($B$4)))&lt;0,-SUM(OFFSET($B$43,0,0,1,COLUMN(Y$4)-COLUMN($B$4))),((SUM(OFFSET($B$40,0,1,1,COLUMN(Y$4)-COLUMN($B$4)))-SUM(OFFSET($B$42,0,1,1,COLUMN(Y$4)-COLUMN($B$4))))*Assumptions!$B$37)-SUM(OFFSET($B$43,0,0,1,COLUMN(Y$4)-COLUMN($B$4))))</f>
        <v>3623.9447999999975</v>
      </c>
      <c r="Z43" s="25">
        <f ca="1">IF(SUM(OFFSET($B$40,0,1,1,COLUMN(Z$4)-COLUMN($B$4)))-SUM(OFFSET($B$42,0,1,1,COLUMN(Z$4)-COLUMN($B$4)))&lt;0,-SUM(OFFSET($B$43,0,0,1,COLUMN(Z$4)-COLUMN($B$4))),((SUM(OFFSET($B$40,0,1,1,COLUMN(Z$4)-COLUMN($B$4)))-SUM(OFFSET($B$42,0,1,1,COLUMN(Z$4)-COLUMN($B$4))))*Assumptions!$B$37)-SUM(OFFSET($B$43,0,0,1,COLUMN(Z$4)-COLUMN($B$4))))</f>
        <v>2124.6175999999978</v>
      </c>
      <c r="AA43" s="25">
        <f ca="1">IF(SUM(OFFSET($B$40,0,1,1,COLUMN(AA$4)-COLUMN($B$4)))-SUM(OFFSET($B$42,0,1,1,COLUMN(AA$4)-COLUMN($B$4)))&lt;0,-SUM(OFFSET($B$43,0,0,1,COLUMN(AA$4)-COLUMN($B$4))),((SUM(OFFSET($B$40,0,1,1,COLUMN(AA$4)-COLUMN($B$4)))-SUM(OFFSET($B$42,0,1,1,COLUMN(AA$4)-COLUMN($B$4))))*Assumptions!$B$37)-SUM(OFFSET($B$43,0,0,1,COLUMN(AA$4)-COLUMN($B$4))))</f>
        <v>6372.7999999999956</v>
      </c>
      <c r="AB43" s="25">
        <f ca="1">IF(SUM(OFFSET($B$40,0,1,1,COLUMN(AB$4)-COLUMN($B$4)))-SUM(OFFSET($B$42,0,1,1,COLUMN(AB$4)-COLUMN($B$4)))&lt;0,-SUM(OFFSET($B$43,0,0,1,COLUMN(AB$4)-COLUMN($B$4))),((SUM(OFFSET($B$40,0,1,1,COLUMN(AB$4)-COLUMN($B$4)))-SUM(OFFSET($B$42,0,1,1,COLUMN(AB$4)-COLUMN($B$4))))*Assumptions!$B$37)-SUM(OFFSET($B$43,0,0,1,COLUMN(AB$4)-COLUMN($B$4))))</f>
        <v>-2236.3600000000006</v>
      </c>
      <c r="AC43" s="25">
        <f ca="1">IF(SUM(OFFSET($B$40,0,1,1,COLUMN(AC$4)-COLUMN($B$4)))-SUM(OFFSET($B$42,0,1,1,COLUMN(AC$4)-COLUMN($B$4)))&lt;0,-SUM(OFFSET($B$43,0,0,1,COLUMN(AC$4)-COLUMN($B$4))),((SUM(OFFSET($B$40,0,1,1,COLUMN(AC$4)-COLUMN($B$4)))-SUM(OFFSET($B$42,0,1,1,COLUMN(AC$4)-COLUMN($B$4))))*Assumptions!$B$37)-SUM(OFFSET($B$43,0,0,1,COLUMN(AC$4)-COLUMN($B$4))))</f>
        <v>4097.0720000000147</v>
      </c>
      <c r="AD43" s="25">
        <f ca="1">IF(SUM(OFFSET($B$40,0,1,1,COLUMN(AD$4)-COLUMN($B$4)))-SUM(OFFSET($B$42,0,1,1,COLUMN(AD$4)-COLUMN($B$4)))&lt;0,-SUM(OFFSET($B$43,0,0,1,COLUMN(AD$4)-COLUMN($B$4))),((SUM(OFFSET($B$40,0,1,1,COLUMN(AD$4)-COLUMN($B$4)))-SUM(OFFSET($B$42,0,1,1,COLUMN(AD$4)-COLUMN($B$4))))*Assumptions!$B$37)-SUM(OFFSET($B$43,0,0,1,COLUMN(AD$4)-COLUMN($B$4))))</f>
        <v>5739.7200000000012</v>
      </c>
      <c r="AE43" s="25">
        <f ca="1">IF(SUM(OFFSET($B$40,0,1,1,COLUMN(AE$4)-COLUMN($B$4)))-SUM(OFFSET($B$42,0,1,1,COLUMN(AE$4)-COLUMN($B$4)))&lt;0,-SUM(OFFSET($B$43,0,0,1,COLUMN(AE$4)-COLUMN($B$4))),((SUM(OFFSET($B$40,0,1,1,COLUMN(AE$4)-COLUMN($B$4)))-SUM(OFFSET($B$42,0,1,1,COLUMN(AE$4)-COLUMN($B$4))))*Assumptions!$B$37)-SUM(OFFSET($B$43,0,0,1,COLUMN(AE$4)-COLUMN($B$4))))</f>
        <v>8719.7599999999948</v>
      </c>
      <c r="AF43" s="25">
        <f ca="1">IF(SUM(OFFSET($B$40,0,1,1,COLUMN(AF$4)-COLUMN($B$4)))-SUM(OFFSET($B$42,0,1,1,COLUMN(AF$4)-COLUMN($B$4)))&lt;0,-SUM(OFFSET($B$43,0,0,1,COLUMN(AF$4)-COLUMN($B$4))),((SUM(OFFSET($B$40,0,1,1,COLUMN(AF$4)-COLUMN($B$4)))-SUM(OFFSET($B$42,0,1,1,COLUMN(AF$4)-COLUMN($B$4))))*Assumptions!$B$37)-SUM(OFFSET($B$43,0,0,1,COLUMN(AF$4)-COLUMN($B$4))))</f>
        <v>8784.3840000000055</v>
      </c>
      <c r="AG43" s="25">
        <f ca="1">IF(SUM(OFFSET($B$40,0,1,1,COLUMN(AG$4)-COLUMN($B$4)))-SUM(OFFSET($B$42,0,1,1,COLUMN(AG$4)-COLUMN($B$4)))&lt;0,-SUM(OFFSET($B$43,0,0,1,COLUMN(AG$4)-COLUMN($B$4))),((SUM(OFFSET($B$40,0,1,1,COLUMN(AG$4)-COLUMN($B$4)))-SUM(OFFSET($B$42,0,1,1,COLUMN(AG$4)-COLUMN($B$4))))*Assumptions!$B$37)-SUM(OFFSET($B$43,0,0,1,COLUMN(AG$4)-COLUMN($B$4))))</f>
        <v>2267.6079999999929</v>
      </c>
      <c r="AH43" s="25">
        <f ca="1">IF(SUM(OFFSET($B$40,0,1,1,COLUMN(AH$4)-COLUMN($B$4)))-SUM(OFFSET($B$42,0,1,1,COLUMN(AH$4)-COLUMN($B$4)))&lt;0,-SUM(OFFSET($B$43,0,0,1,COLUMN(AH$4)-COLUMN($B$4))),((SUM(OFFSET($B$40,0,1,1,COLUMN(AH$4)-COLUMN($B$4)))-SUM(OFFSET($B$42,0,1,1,COLUMN(AH$4)-COLUMN($B$4))))*Assumptions!$B$37)-SUM(OFFSET($B$43,0,0,1,COLUMN(AH$4)-COLUMN($B$4))))</f>
        <v>1696.351999999999</v>
      </c>
      <c r="AI43" s="25">
        <f ca="1">IF(SUM(OFFSET($B$40,0,1,1,COLUMN(AI$4)-COLUMN($B$4)))-SUM(OFFSET($B$42,0,1,1,COLUMN(AI$4)-COLUMN($B$4)))&lt;0,-SUM(OFFSET($B$43,0,0,1,COLUMN(AI$4)-COLUMN($B$4))),((SUM(OFFSET($B$40,0,1,1,COLUMN(AI$4)-COLUMN($B$4)))-SUM(OFFSET($B$42,0,1,1,COLUMN(AI$4)-COLUMN($B$4))))*Assumptions!$B$37)-SUM(OFFSET($B$43,0,0,1,COLUMN(AI$4)-COLUMN($B$4))))</f>
        <v>8691.8160000000062</v>
      </c>
      <c r="AJ43" s="25">
        <f ca="1">IF(SUM(OFFSET($B$40,0,1,1,COLUMN(AJ$4)-COLUMN($B$4)))-SUM(OFFSET($B$42,0,1,1,COLUMN(AJ$4)-COLUMN($B$4)))&lt;0,-SUM(OFFSET($B$43,0,0,1,COLUMN(AJ$4)-COLUMN($B$4))),((SUM(OFFSET($B$40,0,1,1,COLUMN(AJ$4)-COLUMN($B$4)))-SUM(OFFSET($B$42,0,1,1,COLUMN(AJ$4)-COLUMN($B$4))))*Assumptions!$B$37)-SUM(OFFSET($B$43,0,0,1,COLUMN(AJ$4)-COLUMN($B$4))))</f>
        <v>7173.8239999999932</v>
      </c>
      <c r="AK43" s="25">
        <f ca="1">IF(SUM(OFFSET($B$40,0,1,1,COLUMN(AK$4)-COLUMN($B$4)))-SUM(OFFSET($B$42,0,1,1,COLUMN(AK$4)-COLUMN($B$4)))&lt;0,-SUM(OFFSET($B$43,0,0,1,COLUMN(AK$4)-COLUMN($B$4))),((SUM(OFFSET($B$40,0,1,1,COLUMN(AK$4)-COLUMN($B$4)))-SUM(OFFSET($B$42,0,1,1,COLUMN(AK$4)-COLUMN($B$4))))*Assumptions!$B$37)-SUM(OFFSET($B$43,0,0,1,COLUMN(AK$4)-COLUMN($B$4))))</f>
        <v>-1499.2039999999979</v>
      </c>
      <c r="AL43" s="25">
        <f ca="1">IF(SUM(OFFSET($B$40,0,1,1,COLUMN(AL$4)-COLUMN($B$4)))-SUM(OFFSET($B$42,0,1,1,COLUMN(AL$4)-COLUMN($B$4)))&lt;0,-SUM(OFFSET($B$43,0,0,1,COLUMN(AL$4)-COLUMN($B$4))),((SUM(OFFSET($B$40,0,1,1,COLUMN(AL$4)-COLUMN($B$4)))-SUM(OFFSET($B$42,0,1,1,COLUMN(AL$4)-COLUMN($B$4))))*Assumptions!$B$37)-SUM(OFFSET($B$43,0,0,1,COLUMN(AL$4)-COLUMN($B$4))))</f>
        <v>5788.4400000000023</v>
      </c>
      <c r="AM43" s="25">
        <f ca="1">IF(SUM(OFFSET($B$40,0,1,1,COLUMN(AM$4)-COLUMN($B$4)))-SUM(OFFSET($B$42,0,1,1,COLUMN(AM$4)-COLUMN($B$4)))&lt;0,-SUM(OFFSET($B$43,0,0,1,COLUMN(AM$4)-COLUMN($B$4))),((SUM(OFFSET($B$40,0,1,1,COLUMN(AM$4)-COLUMN($B$4)))-SUM(OFFSET($B$42,0,1,1,COLUMN(AM$4)-COLUMN($B$4))))*Assumptions!$B$37)-SUM(OFFSET($B$43,0,0,1,COLUMN(AM$4)-COLUMN($B$4))))</f>
        <v>7420.1680000000051</v>
      </c>
      <c r="AN43" s="25">
        <f ca="1">IF(SUM(OFFSET($B$40,0,1,1,COLUMN(AN$4)-COLUMN($B$4)))-SUM(OFFSET($B$42,0,1,1,COLUMN(AN$4)-COLUMN($B$4)))&lt;0,-SUM(OFFSET($B$43,0,0,1,COLUMN(AN$4)-COLUMN($B$4))),((SUM(OFFSET($B$40,0,1,1,COLUMN(AN$4)-COLUMN($B$4)))-SUM(OFFSET($B$42,0,1,1,COLUMN(AN$4)-COLUMN($B$4))))*Assumptions!$B$37)-SUM(OFFSET($B$43,0,0,1,COLUMN(AN$4)-COLUMN($B$4))))</f>
        <v>8715.9407999999821</v>
      </c>
      <c r="AO43" s="25">
        <f ca="1">IF(SUM(OFFSET($B$40,0,1,1,COLUMN(AO$4)-COLUMN($B$4)))-SUM(OFFSET($B$42,0,1,1,COLUMN(AO$4)-COLUMN($B$4)))&lt;0,-SUM(OFFSET($B$43,0,0,1,COLUMN(AO$4)-COLUMN($B$4))),((SUM(OFFSET($B$40,0,1,1,COLUMN(AO$4)-COLUMN($B$4)))-SUM(OFFSET($B$42,0,1,1,COLUMN(AO$4)-COLUMN($B$4))))*Assumptions!$B$37)-SUM(OFFSET($B$43,0,0,1,COLUMN(AO$4)-COLUMN($B$4))))</f>
        <v>-5625.7823999999819</v>
      </c>
      <c r="AP43" s="25">
        <f ca="1">IF(SUM(OFFSET($B$40,0,1,1,COLUMN(AP$4)-COLUMN($B$4)))-SUM(OFFSET($B$42,0,1,1,COLUMN(AP$4)-COLUMN($B$4)))&lt;0,-SUM(OFFSET($B$43,0,0,1,COLUMN(AP$4)-COLUMN($B$4))),((SUM(OFFSET($B$40,0,1,1,COLUMN(AP$4)-COLUMN($B$4)))-SUM(OFFSET($B$42,0,1,1,COLUMN(AP$4)-COLUMN($B$4))))*Assumptions!$B$37)-SUM(OFFSET($B$43,0,0,1,COLUMN(AP$4)-COLUMN($B$4))))</f>
        <v>8511.6023999999888</v>
      </c>
      <c r="AQ43" s="25">
        <f ca="1">IF(SUM(OFFSET($B$40,0,1,1,COLUMN(AQ$4)-COLUMN($B$4)))-SUM(OFFSET($B$42,0,1,1,COLUMN(AQ$4)-COLUMN($B$4)))&lt;0,-SUM(OFFSET($B$43,0,0,1,COLUMN(AQ$4)-COLUMN($B$4))),((SUM(OFFSET($B$40,0,1,1,COLUMN(AQ$4)-COLUMN($B$4)))-SUM(OFFSET($B$42,0,1,1,COLUMN(AQ$4)-COLUMN($B$4))))*Assumptions!$B$37)-SUM(OFFSET($B$43,0,0,1,COLUMN(AQ$4)-COLUMN($B$4))))</f>
        <v>1725.640000000014</v>
      </c>
      <c r="AR43" s="25">
        <f ca="1">IF(SUM(OFFSET($B$40,0,1,1,COLUMN(AR$4)-COLUMN($B$4)))-SUM(OFFSET($B$42,0,1,1,COLUMN(AR$4)-COLUMN($B$4)))&lt;0,-SUM(OFFSET($B$43,0,0,1,COLUMN(AR$4)-COLUMN($B$4))),((SUM(OFFSET($B$40,0,1,1,COLUMN(AR$4)-COLUMN($B$4)))-SUM(OFFSET($B$42,0,1,1,COLUMN(AR$4)-COLUMN($B$4))))*Assumptions!$B$37)-SUM(OFFSET($B$43,0,0,1,COLUMN(AR$4)-COLUMN($B$4))))</f>
        <v>893.33999999999651</v>
      </c>
      <c r="AS43" s="25">
        <f ca="1">IF(SUM(OFFSET($B$40,0,1,1,COLUMN(AS$4)-COLUMN($B$4)))-SUM(OFFSET($B$42,0,1,1,COLUMN(AS$4)-COLUMN($B$4)))&lt;0,-SUM(OFFSET($B$43,0,0,1,COLUMN(AS$4)-COLUMN($B$4))),((SUM(OFFSET($B$40,0,1,1,COLUMN(AS$4)-COLUMN($B$4)))-SUM(OFFSET($B$42,0,1,1,COLUMN(AS$4)-COLUMN($B$4))))*Assumptions!$B$37)-SUM(OFFSET($B$43,0,0,1,COLUMN(AS$4)-COLUMN($B$4))))</f>
        <v>4600.820000000007</v>
      </c>
      <c r="AT43" s="25">
        <f ca="1">IF(SUM(OFFSET($B$40,0,1,1,COLUMN(AT$4)-COLUMN($B$4)))-SUM(OFFSET($B$42,0,1,1,COLUMN(AT$4)-COLUMN($B$4)))&lt;0,-SUM(OFFSET($B$43,0,0,1,COLUMN(AT$4)-COLUMN($B$4))),((SUM(OFFSET($B$40,0,1,1,COLUMN(AT$4)-COLUMN($B$4)))-SUM(OFFSET($B$42,0,1,1,COLUMN(AT$4)-COLUMN($B$4))))*Assumptions!$B$37)-SUM(OFFSET($B$43,0,0,1,COLUMN(AT$4)-COLUMN($B$4))))</f>
        <v>-3046.4000000000233</v>
      </c>
      <c r="AU43" s="25">
        <f ca="1">IF(SUM(OFFSET($B$40,0,1,1,COLUMN(AU$4)-COLUMN($B$4)))-SUM(OFFSET($B$42,0,1,1,COLUMN(AU$4)-COLUMN($B$4)))&lt;0,-SUM(OFFSET($B$43,0,0,1,COLUMN(AU$4)-COLUMN($B$4))),((SUM(OFFSET($B$40,0,1,1,COLUMN(AU$4)-COLUMN($B$4)))-SUM(OFFSET($B$42,0,1,1,COLUMN(AU$4)-COLUMN($B$4))))*Assumptions!$B$37)-SUM(OFFSET($B$43,0,0,1,COLUMN(AU$4)-COLUMN($B$4))))</f>
        <v>162.54000000000815</v>
      </c>
      <c r="AV43" s="25">
        <f ca="1">IF(SUM(OFFSET($B$40,0,1,1,COLUMN(AV$4)-COLUMN($B$4)))-SUM(OFFSET($B$42,0,1,1,COLUMN(AV$4)-COLUMN($B$4)))&lt;0,-SUM(OFFSET($B$43,0,0,1,COLUMN(AV$4)-COLUMN($B$4))),((SUM(OFFSET($B$40,0,1,1,COLUMN(AV$4)-COLUMN($B$4)))-SUM(OFFSET($B$42,0,1,1,COLUMN(AV$4)-COLUMN($B$4))))*Assumptions!$B$37)-SUM(OFFSET($B$43,0,0,1,COLUMN(AV$4)-COLUMN($B$4))))</f>
        <v>5946.2200000000012</v>
      </c>
      <c r="AW43" s="25">
        <f ca="1">IF(SUM(OFFSET($B$40,0,1,1,COLUMN(AW$4)-COLUMN($B$4)))-SUM(OFFSET($B$42,0,1,1,COLUMN(AW$4)-COLUMN($B$4)))&lt;0,-SUM(OFFSET($B$43,0,0,1,COLUMN(AW$4)-COLUMN($B$4))),((SUM(OFFSET($B$40,0,1,1,COLUMN(AW$4)-COLUMN($B$4)))-SUM(OFFSET($B$42,0,1,1,COLUMN(AW$4)-COLUMN($B$4))))*Assumptions!$B$37)-SUM(OFFSET($B$43,0,0,1,COLUMN(AW$4)-COLUMN($B$4))))</f>
        <v>10175.452000000019</v>
      </c>
      <c r="AX43" s="25">
        <f ca="1">IF(SUM(OFFSET($B$40,0,1,1,COLUMN(AX$4)-COLUMN($B$4)))-SUM(OFFSET($B$42,0,1,1,COLUMN(AX$4)-COLUMN($B$4)))&lt;0,-SUM(OFFSET($B$43,0,0,1,COLUMN(AX$4)-COLUMN($B$4))),((SUM(OFFSET($B$40,0,1,1,COLUMN(AX$4)-COLUMN($B$4)))-SUM(OFFSET($B$42,0,1,1,COLUMN(AX$4)-COLUMN($B$4))))*Assumptions!$B$37)-SUM(OFFSET($B$43,0,0,1,COLUMN(AX$4)-COLUMN($B$4))))</f>
        <v>-1564.6680000000051</v>
      </c>
      <c r="AY43" s="25">
        <f ca="1">IF(SUM(OFFSET($B$40,0,1,1,COLUMN(AY$4)-COLUMN($B$4)))-SUM(OFFSET($B$42,0,1,1,COLUMN(AY$4)-COLUMN($B$4)))&lt;0,-SUM(OFFSET($B$43,0,0,1,COLUMN(AY$4)-COLUMN($B$4))),((SUM(OFFSET($B$40,0,1,1,COLUMN(AY$4)-COLUMN($B$4)))-SUM(OFFSET($B$42,0,1,1,COLUMN(AY$4)-COLUMN($B$4))))*Assumptions!$B$37)-SUM(OFFSET($B$43,0,0,1,COLUMN(AY$4)-COLUMN($B$4))))</f>
        <v>6977.8800000000047</v>
      </c>
      <c r="AZ43" s="25">
        <f ca="1">IF(SUM(OFFSET($B$40,0,1,1,COLUMN(AZ$4)-COLUMN($B$4)))-SUM(OFFSET($B$42,0,1,1,COLUMN(AZ$4)-COLUMN($B$4)))&lt;0,-SUM(OFFSET($B$43,0,0,1,COLUMN(AZ$4)-COLUMN($B$4))),((SUM(OFFSET($B$40,0,1,1,COLUMN(AZ$4)-COLUMN($B$4)))-SUM(OFFSET($B$42,0,1,1,COLUMN(AZ$4)-COLUMN($B$4))))*Assumptions!$B$37)-SUM(OFFSET($B$43,0,0,1,COLUMN(AZ$4)-COLUMN($B$4))))</f>
        <v>7267.2600000000093</v>
      </c>
      <c r="BA43" s="25">
        <f ca="1">IF(SUM(OFFSET($B$40,0,1,1,COLUMN(BA$4)-COLUMN($B$4)))-SUM(OFFSET($B$42,0,1,1,COLUMN(BA$4)-COLUMN($B$4)))&lt;0,-SUM(OFFSET($B$43,0,0,1,COLUMN(BA$4)-COLUMN($B$4))),((SUM(OFFSET($B$40,0,1,1,COLUMN(BA$4)-COLUMN($B$4)))-SUM(OFFSET($B$42,0,1,1,COLUMN(BA$4)-COLUMN($B$4))))*Assumptions!$B$37)-SUM(OFFSET($B$43,0,0,1,COLUMN(BA$4)-COLUMN($B$4))))</f>
        <v>8127.1399999999849</v>
      </c>
      <c r="BB43" s="25">
        <f ca="1">IF(SUM(OFFSET($B$40,0,1,1,COLUMN(BB$4)-COLUMN($B$4)))-SUM(OFFSET($B$42,0,1,1,COLUMN(BB$4)-COLUMN($B$4)))&lt;0,-SUM(OFFSET($B$43,0,0,1,COLUMN(BB$4)-COLUMN($B$4))),((SUM(OFFSET($B$40,0,1,1,COLUMN(BB$4)-COLUMN($B$4)))-SUM(OFFSET($B$42,0,1,1,COLUMN(BB$4)-COLUMN($B$4))))*Assumptions!$B$37)-SUM(OFFSET($B$43,0,0,1,COLUMN(BB$4)-COLUMN($B$4))))</f>
        <v>-2164.6240000000107</v>
      </c>
      <c r="BC43" s="26">
        <f ca="1">SUM(OFFSET($B43,0,1,1,Assumptions!$B$7))</f>
        <v>27887.72</v>
      </c>
      <c r="BD43" s="26">
        <f ca="1">SUM(OFFSET($B43,0,1+Assumptions!$B$7,1,SUM(Assumptions!$B$8)))</f>
        <v>38390.164399999994</v>
      </c>
      <c r="BE43" s="26">
        <f ca="1">SUM(OFFSET($B43,0,1+SUM(Assumptions!$B$7:$B$8),1,SUM(Assumptions!$B$9)))</f>
        <v>61970.098400000017</v>
      </c>
      <c r="BF43" s="26">
        <f ca="1">SUM(OFFSET($B43,0,1+SUM(Assumptions!$B$7:$B$9),1,SUM(Assumptions!$B$10)))</f>
        <v>47612.202399999995</v>
      </c>
      <c r="BG43" s="26">
        <f ca="1">SUM(BC43:BF43)</f>
        <v>175860.18520000001</v>
      </c>
    </row>
    <row r="44" spans="1:59" ht="15" customHeight="1" x14ac:dyDescent="0.3">
      <c r="C44" s="25"/>
      <c r="D44" s="25"/>
      <c r="E44" s="25"/>
      <c r="F44" s="25"/>
      <c r="G44" s="25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</row>
    <row r="45" spans="1:59" ht="15" customHeight="1" x14ac:dyDescent="0.35">
      <c r="B45" s="2" t="s">
        <v>91</v>
      </c>
      <c r="C45" s="26">
        <f t="shared" ref="C45:BF45" ca="1" si="6">SUM(C40,-C42,-C43)</f>
        <v>6696</v>
      </c>
      <c r="D45" s="26">
        <f t="shared" ca="1" si="6"/>
        <v>6966</v>
      </c>
      <c r="E45" s="26">
        <f ca="1">SUM(E40,-E42,-E43)</f>
        <v>11545.2</v>
      </c>
      <c r="F45" s="26">
        <f t="shared" ca="1" si="6"/>
        <v>18162</v>
      </c>
      <c r="G45" s="26">
        <f t="shared" ca="1" si="6"/>
        <v>-2363.0399999999991</v>
      </c>
      <c r="H45" s="26">
        <f t="shared" ca="1" si="6"/>
        <v>-3637.4399999999987</v>
      </c>
      <c r="I45" s="26">
        <f t="shared" ca="1" si="6"/>
        <v>11810.88</v>
      </c>
      <c r="J45" s="26">
        <f t="shared" ca="1" si="6"/>
        <v>6638.3999999999978</v>
      </c>
      <c r="K45" s="26">
        <f t="shared" ca="1" si="6"/>
        <v>-1840.3199999999997</v>
      </c>
      <c r="L45" s="26">
        <f t="shared" ca="1" si="6"/>
        <v>6609.6000000000022</v>
      </c>
      <c r="M45" s="26">
        <f t="shared" ca="1" si="6"/>
        <v>10824.48</v>
      </c>
      <c r="N45" s="26">
        <f t="shared" ca="1" si="6"/>
        <v>17020.8</v>
      </c>
      <c r="O45" s="26">
        <f t="shared" ca="1" si="6"/>
        <v>-16721.28</v>
      </c>
      <c r="P45" s="26">
        <f t="shared" ca="1" si="6"/>
        <v>11354.399999999998</v>
      </c>
      <c r="Q45" s="26">
        <f ca="1">SUM(Q40,-Q42,-Q43)</f>
        <v>10162.799999999999</v>
      </c>
      <c r="R45" s="26">
        <f t="shared" ca="1" si="6"/>
        <v>17317.800000000003</v>
      </c>
      <c r="S45" s="26">
        <f t="shared" ca="1" si="6"/>
        <v>8285.9039999999914</v>
      </c>
      <c r="T45" s="26">
        <f t="shared" ca="1" si="6"/>
        <v>154.08000000000175</v>
      </c>
      <c r="U45" s="26">
        <f t="shared" ca="1" si="6"/>
        <v>-1105.9919999999984</v>
      </c>
      <c r="V45" s="26">
        <f t="shared" ca="1" si="6"/>
        <v>19252.800000000003</v>
      </c>
      <c r="W45" s="26">
        <f t="shared" ca="1" si="6"/>
        <v>9185.760000000002</v>
      </c>
      <c r="X45" s="26">
        <f t="shared" ca="1" si="6"/>
        <v>-1308.5640000000021</v>
      </c>
      <c r="Y45" s="26">
        <f t="shared" ca="1" si="6"/>
        <v>9318.7152000000024</v>
      </c>
      <c r="Z45" s="26">
        <f t="shared" ca="1" si="6"/>
        <v>5463.3024000000005</v>
      </c>
      <c r="AA45" s="26">
        <f t="shared" ca="1" si="6"/>
        <v>16387.200000000004</v>
      </c>
      <c r="AB45" s="26">
        <f t="shared" ca="1" si="6"/>
        <v>-5750.6399999999994</v>
      </c>
      <c r="AC45" s="26">
        <f t="shared" ca="1" si="6"/>
        <v>10535.327999999987</v>
      </c>
      <c r="AD45" s="26">
        <f ca="1">SUM(AD40,-AD42,-AD43)</f>
        <v>14759.279999999999</v>
      </c>
      <c r="AE45" s="26">
        <f t="shared" ca="1" si="6"/>
        <v>22422.240000000005</v>
      </c>
      <c r="AF45" s="26">
        <f t="shared" ca="1" si="6"/>
        <v>22588.415999999997</v>
      </c>
      <c r="AG45" s="26">
        <f t="shared" ca="1" si="6"/>
        <v>5830.9920000000056</v>
      </c>
      <c r="AH45" s="26">
        <f t="shared" ca="1" si="6"/>
        <v>4362.0480000000025</v>
      </c>
      <c r="AI45" s="26">
        <f t="shared" ca="1" si="6"/>
        <v>22350.383999999998</v>
      </c>
      <c r="AJ45" s="26">
        <f t="shared" ca="1" si="6"/>
        <v>18446.97600000001</v>
      </c>
      <c r="AK45" s="26">
        <f t="shared" ca="1" si="6"/>
        <v>-3855.0959999999977</v>
      </c>
      <c r="AL45" s="26">
        <f t="shared" ca="1" si="6"/>
        <v>14884.559999999998</v>
      </c>
      <c r="AM45" s="26">
        <f t="shared" ca="1" si="6"/>
        <v>19080.431999999993</v>
      </c>
      <c r="AN45" s="26">
        <f t="shared" ca="1" si="6"/>
        <v>22412.419200000018</v>
      </c>
      <c r="AO45" s="26">
        <f t="shared" ca="1" si="6"/>
        <v>-14466.29760000002</v>
      </c>
      <c r="AP45" s="26">
        <f t="shared" ca="1" si="6"/>
        <v>21886.977600000013</v>
      </c>
      <c r="AQ45" s="26">
        <f t="shared" ca="1" si="6"/>
        <v>4437.359999999986</v>
      </c>
      <c r="AR45" s="26">
        <f t="shared" ca="1" si="6"/>
        <v>2297.1600000000071</v>
      </c>
      <c r="AS45" s="26">
        <f t="shared" ca="1" si="6"/>
        <v>11830.679999999993</v>
      </c>
      <c r="AT45" s="26">
        <f t="shared" ca="1" si="6"/>
        <v>-7833.5999999999767</v>
      </c>
      <c r="AU45" s="26">
        <f t="shared" ca="1" si="6"/>
        <v>417.95999999999185</v>
      </c>
      <c r="AV45" s="26">
        <f t="shared" ca="1" si="6"/>
        <v>15290.279999999999</v>
      </c>
      <c r="AW45" s="26">
        <f t="shared" ca="1" si="6"/>
        <v>26165.447999999982</v>
      </c>
      <c r="AX45" s="26">
        <f t="shared" ca="1" si="6"/>
        <v>-4023.4319999999934</v>
      </c>
      <c r="AY45" s="26">
        <f t="shared" ca="1" si="6"/>
        <v>17943.119999999995</v>
      </c>
      <c r="AZ45" s="26">
        <f t="shared" ca="1" si="6"/>
        <v>18687.239999999991</v>
      </c>
      <c r="BA45" s="26">
        <f t="shared" ca="1" si="6"/>
        <v>20898.360000000015</v>
      </c>
      <c r="BB45" s="26">
        <f t="shared" ca="1" si="6"/>
        <v>-5566.1759999999849</v>
      </c>
      <c r="BC45" s="26">
        <f ca="1">SUM(BC40,-BC42,-BC43)</f>
        <v>71711.28</v>
      </c>
      <c r="BD45" s="26">
        <f ca="1">SUM(BD40,-BD42,-BD43)</f>
        <v>98717.565599999987</v>
      </c>
      <c r="BE45" s="26">
        <f ca="1">SUM(BE40,-BE42,-BE43)</f>
        <v>159351.68159999995</v>
      </c>
      <c r="BF45" s="26">
        <f t="shared" ca="1" si="6"/>
        <v>122431.37760000002</v>
      </c>
      <c r="BG45" s="26">
        <f ca="1">SUM(BG40,-BG42,-BG43)</f>
        <v>452211.90480000008</v>
      </c>
    </row>
    <row r="46" spans="1:59" s="32" customFormat="1" ht="15" customHeight="1" x14ac:dyDescent="0.35">
      <c r="B46" s="32" t="s">
        <v>65</v>
      </c>
      <c r="C46" s="33">
        <f t="shared" ref="C46:BF46" ca="1" si="7">IF(C$5=0,0,C45/C$5)</f>
        <v>8.3699999999999997E-2</v>
      </c>
      <c r="D46" s="33">
        <f t="shared" ca="1" si="7"/>
        <v>0.10716923076923077</v>
      </c>
      <c r="E46" s="33">
        <f ca="1">IF(E$5=0,0,E45/E$5)</f>
        <v>0.15393600000000002</v>
      </c>
      <c r="F46" s="33">
        <f t="shared" ca="1" si="7"/>
        <v>0.21367058823529411</v>
      </c>
      <c r="G46" s="33">
        <f t="shared" ca="1" si="7"/>
        <v>-2.9537999999999988E-2</v>
      </c>
      <c r="H46" s="33">
        <f t="shared" ca="1" si="7"/>
        <v>-4.6336815286624186E-2</v>
      </c>
      <c r="I46" s="33">
        <f t="shared" ca="1" si="7"/>
        <v>0.17055422382671478</v>
      </c>
      <c r="J46" s="33">
        <f t="shared" ca="1" si="7"/>
        <v>8.297999999999997E-2</v>
      </c>
      <c r="K46" s="33">
        <f t="shared" ca="1" si="7"/>
        <v>-2.2442926829268288E-2</v>
      </c>
      <c r="L46" s="33">
        <f t="shared" ca="1" si="7"/>
        <v>7.7760000000000024E-2</v>
      </c>
      <c r="M46" s="33">
        <f t="shared" ca="1" si="7"/>
        <v>0.130415421686747</v>
      </c>
      <c r="N46" s="33">
        <f t="shared" ca="1" si="7"/>
        <v>0.21276</v>
      </c>
      <c r="O46" s="33">
        <f t="shared" ca="1" si="7"/>
        <v>-0.22295039999999999</v>
      </c>
      <c r="P46" s="33">
        <f t="shared" ca="1" si="7"/>
        <v>0.12615999999999997</v>
      </c>
      <c r="Q46" s="33">
        <f ca="1">IF(Q$5=0,0,Q45/Q$5)</f>
        <v>0.11956235294117647</v>
      </c>
      <c r="R46" s="33">
        <f t="shared" ca="1" si="7"/>
        <v>0.20991272727272731</v>
      </c>
      <c r="S46" s="33">
        <f t="shared" ca="1" si="7"/>
        <v>9.9351366906474711E-2</v>
      </c>
      <c r="T46" s="33">
        <f t="shared" ca="1" si="7"/>
        <v>1.9022222222222437E-3</v>
      </c>
      <c r="U46" s="33">
        <f t="shared" ca="1" si="7"/>
        <v>-1.3119715302491083E-2</v>
      </c>
      <c r="V46" s="33">
        <f t="shared" ca="1" si="7"/>
        <v>0.21392000000000003</v>
      </c>
      <c r="W46" s="33">
        <f t="shared" ca="1" si="7"/>
        <v>0.1068111627906977</v>
      </c>
      <c r="X46" s="33">
        <f t="shared" ca="1" si="7"/>
        <v>-1.4980698340011473E-2</v>
      </c>
      <c r="Y46" s="33">
        <f t="shared" ca="1" si="7"/>
        <v>0.11306376122300416</v>
      </c>
      <c r="Z46" s="33">
        <f t="shared" ca="1" si="7"/>
        <v>5.7099732441471575E-2</v>
      </c>
      <c r="AA46" s="33">
        <f t="shared" ca="1" si="7"/>
        <v>0.18208000000000005</v>
      </c>
      <c r="AB46" s="33">
        <f t="shared" ca="1" si="7"/>
        <v>-6.183483870967741E-2</v>
      </c>
      <c r="AC46" s="33">
        <f t="shared" ca="1" si="7"/>
        <v>0.12453106382978708</v>
      </c>
      <c r="AD46" s="33">
        <f ca="1">IF(AD$5=0,0,AD45/AD$5)</f>
        <v>0.15785326203208555</v>
      </c>
      <c r="AE46" s="33">
        <f t="shared" ca="1" si="7"/>
        <v>0.22879836734693884</v>
      </c>
      <c r="AF46" s="33">
        <f t="shared" ca="1" si="7"/>
        <v>0.22320569169960472</v>
      </c>
      <c r="AG46" s="33">
        <f t="shared" ca="1" si="7"/>
        <v>5.5322504743833073E-2</v>
      </c>
      <c r="AH46" s="33">
        <f t="shared" ca="1" si="7"/>
        <v>4.0166187845303888E-2</v>
      </c>
      <c r="AI46" s="33">
        <f t="shared" ca="1" si="7"/>
        <v>0.22598972699696662</v>
      </c>
      <c r="AJ46" s="33">
        <f t="shared" ca="1" si="7"/>
        <v>0.18521060240963866</v>
      </c>
      <c r="AK46" s="33">
        <f t="shared" ca="1" si="7"/>
        <v>-3.7555733073550882E-2</v>
      </c>
      <c r="AL46" s="33">
        <f t="shared" ca="1" si="7"/>
        <v>0.14381217391304346</v>
      </c>
      <c r="AM46" s="33">
        <f t="shared" ca="1" si="7"/>
        <v>0.1822390830945558</v>
      </c>
      <c r="AN46" s="33">
        <f t="shared" ca="1" si="7"/>
        <v>0.22452834301743158</v>
      </c>
      <c r="AO46" s="33">
        <f t="shared" ca="1" si="7"/>
        <v>-0.16156240339513089</v>
      </c>
      <c r="AP46" s="33">
        <f t="shared" ca="1" si="7"/>
        <v>0.23608000862905848</v>
      </c>
      <c r="AQ46" s="33">
        <f t="shared" ca="1" si="7"/>
        <v>5.3721065375302496E-2</v>
      </c>
      <c r="AR46" s="33">
        <f t="shared" ca="1" si="7"/>
        <v>3.1860748959778182E-2</v>
      </c>
      <c r="AS46" s="33">
        <f t="shared" ca="1" si="7"/>
        <v>0.1784416289592759</v>
      </c>
      <c r="AT46" s="33">
        <f t="shared" ca="1" si="7"/>
        <v>-0.14038709677419314</v>
      </c>
      <c r="AU46" s="33">
        <f t="shared" ca="1" si="7"/>
        <v>8.3425149700597171E-3</v>
      </c>
      <c r="AV46" s="33">
        <f t="shared" ca="1" si="7"/>
        <v>0.17122374020156775</v>
      </c>
      <c r="AW46" s="33">
        <f t="shared" ca="1" si="7"/>
        <v>0.24735723199092438</v>
      </c>
      <c r="AX46" s="33">
        <f t="shared" ca="1" si="7"/>
        <v>-3.8035847986386775E-2</v>
      </c>
      <c r="AY46" s="33">
        <f t="shared" ca="1" si="7"/>
        <v>0.16282323049001809</v>
      </c>
      <c r="AZ46" s="33">
        <f t="shared" ca="1" si="7"/>
        <v>0.17159999999999992</v>
      </c>
      <c r="BA46" s="33">
        <f t="shared" ca="1" si="7"/>
        <v>0.20961243731193596</v>
      </c>
      <c r="BB46" s="33">
        <f t="shared" ca="1" si="7"/>
        <v>-5.3295442359249184E-2</v>
      </c>
      <c r="BC46" s="33">
        <f ca="1">IF(BC$5=0,0,BC45/BC$5)</f>
        <v>7.0460604274134114E-2</v>
      </c>
      <c r="BD46" s="33">
        <f ca="1">IF(BD$5=0,0,BD45/BD$5)</f>
        <v>8.7310454694202441E-2</v>
      </c>
      <c r="BE46" s="33">
        <f ca="1">IF(BE$5=0,0,BE45/BE$5)</f>
        <v>0.1235274777714901</v>
      </c>
      <c r="BF46" s="33">
        <f t="shared" ca="1" si="7"/>
        <v>0.10704757115002932</v>
      </c>
      <c r="BG46" s="33">
        <f ca="1">IF(BG$5=0,0,BG45/BG$5)</f>
        <v>9.8690541670667736E-2</v>
      </c>
    </row>
    <row r="47" spans="1:59" ht="15" customHeight="1" x14ac:dyDescent="0.3">
      <c r="C47" s="34"/>
      <c r="D47" s="34"/>
      <c r="E47" s="34"/>
      <c r="F47" s="34"/>
      <c r="G47" s="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</row>
    <row r="49" spans="2:59" ht="15" customHeight="1" x14ac:dyDescent="0.4">
      <c r="B49" s="1" t="str">
        <f>Assumptions!$B$4</f>
        <v>Example Trading Limited</v>
      </c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</row>
    <row r="50" spans="2:59" ht="15" customHeight="1" x14ac:dyDescent="0.35">
      <c r="B50" s="6" t="s">
        <v>112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</row>
    <row r="51" spans="2:59" ht="15" customHeight="1" x14ac:dyDescent="0.35">
      <c r="B51" s="90"/>
      <c r="C51" s="89" t="str">
        <f>IF(COLUMN(C52)-2&lt;=Assumptions!$B$7,"Q1",IF(COLUMN(C52)-2&lt;=SUM(Assumptions!$B$7:$B$8),"Q2",IF(COLUMN(C52)-2&lt;=SUM(Assumptions!$B$7:$B$9),"Q3","Q4")))</f>
        <v>Q1</v>
      </c>
      <c r="D51" s="89" t="str">
        <f>IF(COLUMN(D52)-2&lt;=Assumptions!$B$7,"Q1",IF(COLUMN(D52)-2&lt;=SUM(Assumptions!$B$7:$B$8),"Q2",IF(COLUMN(D52)-2&lt;=SUM(Assumptions!$B$7:$B$9),"Q3","Q4")))</f>
        <v>Q1</v>
      </c>
      <c r="E51" s="89" t="str">
        <f>IF(COLUMN(E52)-2&lt;=Assumptions!$B$7,"Q1",IF(COLUMN(E52)-2&lt;=SUM(Assumptions!$B$7:$B$8),"Q2",IF(COLUMN(E52)-2&lt;=SUM(Assumptions!$B$7:$B$9),"Q3","Q4")))</f>
        <v>Q1</v>
      </c>
      <c r="F51" s="89" t="str">
        <f>IF(COLUMN(F52)-2&lt;=Assumptions!$B$7,"Q1",IF(COLUMN(F52)-2&lt;=SUM(Assumptions!$B$7:$B$8),"Q2",IF(COLUMN(F52)-2&lt;=SUM(Assumptions!$B$7:$B$9),"Q3","Q4")))</f>
        <v>Q1</v>
      </c>
      <c r="G51" s="89" t="str">
        <f>IF(COLUMN(G52)-2&lt;=Assumptions!$B$7,"Q1",IF(COLUMN(G52)-2&lt;=SUM(Assumptions!$B$7:$B$8),"Q2",IF(COLUMN(G52)-2&lt;=SUM(Assumptions!$B$7:$B$9),"Q3","Q4")))</f>
        <v>Q1</v>
      </c>
      <c r="H51" s="89" t="str">
        <f>IF(COLUMN(H52)-2&lt;=Assumptions!$B$7,"Q1",IF(COLUMN(H52)-2&lt;=SUM(Assumptions!$B$7:$B$8),"Q2",IF(COLUMN(H52)-2&lt;=SUM(Assumptions!$B$7:$B$9),"Q3","Q4")))</f>
        <v>Q1</v>
      </c>
      <c r="I51" s="89" t="str">
        <f>IF(COLUMN(I52)-2&lt;=Assumptions!$B$7,"Q1",IF(COLUMN(I52)-2&lt;=SUM(Assumptions!$B$7:$B$8),"Q2",IF(COLUMN(I52)-2&lt;=SUM(Assumptions!$B$7:$B$9),"Q3","Q4")))</f>
        <v>Q1</v>
      </c>
      <c r="J51" s="89" t="str">
        <f>IF(COLUMN(J52)-2&lt;=Assumptions!$B$7,"Q1",IF(COLUMN(J52)-2&lt;=SUM(Assumptions!$B$7:$B$8),"Q2",IF(COLUMN(J52)-2&lt;=SUM(Assumptions!$B$7:$B$9),"Q3","Q4")))</f>
        <v>Q1</v>
      </c>
      <c r="K51" s="89" t="str">
        <f>IF(COLUMN(K52)-2&lt;=Assumptions!$B$7,"Q1",IF(COLUMN(K52)-2&lt;=SUM(Assumptions!$B$7:$B$8),"Q2",IF(COLUMN(K52)-2&lt;=SUM(Assumptions!$B$7:$B$9),"Q3","Q4")))</f>
        <v>Q1</v>
      </c>
      <c r="L51" s="89" t="str">
        <f>IF(COLUMN(L52)-2&lt;=Assumptions!$B$7,"Q1",IF(COLUMN(L52)-2&lt;=SUM(Assumptions!$B$7:$B$8),"Q2",IF(COLUMN(L52)-2&lt;=SUM(Assumptions!$B$7:$B$9),"Q3","Q4")))</f>
        <v>Q1</v>
      </c>
      <c r="M51" s="89" t="str">
        <f>IF(COLUMN(M52)-2&lt;=Assumptions!$B$7,"Q1",IF(COLUMN(M52)-2&lt;=SUM(Assumptions!$B$7:$B$8),"Q2",IF(COLUMN(M52)-2&lt;=SUM(Assumptions!$B$7:$B$9),"Q3","Q4")))</f>
        <v>Q1</v>
      </c>
      <c r="N51" s="89" t="str">
        <f>IF(COLUMN(N52)-2&lt;=Assumptions!$B$7,"Q1",IF(COLUMN(N52)-2&lt;=SUM(Assumptions!$B$7:$B$8),"Q2",IF(COLUMN(N52)-2&lt;=SUM(Assumptions!$B$7:$B$9),"Q3","Q4")))</f>
        <v>Q1</v>
      </c>
      <c r="O51" s="89" t="str">
        <f>IF(COLUMN(O52)-2&lt;=Assumptions!$B$7,"Q1",IF(COLUMN(O52)-2&lt;=SUM(Assumptions!$B$7:$B$8),"Q2",IF(COLUMN(O52)-2&lt;=SUM(Assumptions!$B$7:$B$9),"Q3","Q4")))</f>
        <v>Q1</v>
      </c>
      <c r="P51" s="89" t="str">
        <f>IF(COLUMN(P52)-2&lt;=Assumptions!$B$7,"Q1",IF(COLUMN(P52)-2&lt;=SUM(Assumptions!$B$7:$B$8),"Q2",IF(COLUMN(P52)-2&lt;=SUM(Assumptions!$B$7:$B$9),"Q3","Q4")))</f>
        <v>Q2</v>
      </c>
      <c r="Q51" s="89" t="str">
        <f>IF(COLUMN(Q52)-2&lt;=Assumptions!$B$7,"Q1",IF(COLUMN(Q52)-2&lt;=SUM(Assumptions!$B$7:$B$8),"Q2",IF(COLUMN(Q52)-2&lt;=SUM(Assumptions!$B$7:$B$9),"Q3","Q4")))</f>
        <v>Q2</v>
      </c>
      <c r="R51" s="89" t="str">
        <f>IF(COLUMN(R52)-2&lt;=Assumptions!$B$7,"Q1",IF(COLUMN(R52)-2&lt;=SUM(Assumptions!$B$7:$B$8),"Q2",IF(COLUMN(R52)-2&lt;=SUM(Assumptions!$B$7:$B$9),"Q3","Q4")))</f>
        <v>Q2</v>
      </c>
      <c r="S51" s="89" t="str">
        <f>IF(COLUMN(S52)-2&lt;=Assumptions!$B$7,"Q1",IF(COLUMN(S52)-2&lt;=SUM(Assumptions!$B$7:$B$8),"Q2",IF(COLUMN(S52)-2&lt;=SUM(Assumptions!$B$7:$B$9),"Q3","Q4")))</f>
        <v>Q2</v>
      </c>
      <c r="T51" s="89" t="str">
        <f>IF(COLUMN(T52)-2&lt;=Assumptions!$B$7,"Q1",IF(COLUMN(T52)-2&lt;=SUM(Assumptions!$B$7:$B$8),"Q2",IF(COLUMN(T52)-2&lt;=SUM(Assumptions!$B$7:$B$9),"Q3","Q4")))</f>
        <v>Q2</v>
      </c>
      <c r="U51" s="89" t="str">
        <f>IF(COLUMN(U52)-2&lt;=Assumptions!$B$7,"Q1",IF(COLUMN(U52)-2&lt;=SUM(Assumptions!$B$7:$B$8),"Q2",IF(COLUMN(U52)-2&lt;=SUM(Assumptions!$B$7:$B$9),"Q3","Q4")))</f>
        <v>Q2</v>
      </c>
      <c r="V51" s="89" t="str">
        <f>IF(COLUMN(V52)-2&lt;=Assumptions!$B$7,"Q1",IF(COLUMN(V52)-2&lt;=SUM(Assumptions!$B$7:$B$8),"Q2",IF(COLUMN(V52)-2&lt;=SUM(Assumptions!$B$7:$B$9),"Q3","Q4")))</f>
        <v>Q2</v>
      </c>
      <c r="W51" s="89" t="str">
        <f>IF(COLUMN(W52)-2&lt;=Assumptions!$B$7,"Q1",IF(COLUMN(W52)-2&lt;=SUM(Assumptions!$B$7:$B$8),"Q2",IF(COLUMN(W52)-2&lt;=SUM(Assumptions!$B$7:$B$9),"Q3","Q4")))</f>
        <v>Q2</v>
      </c>
      <c r="X51" s="89" t="str">
        <f>IF(COLUMN(X52)-2&lt;=Assumptions!$B$7,"Q1",IF(COLUMN(X52)-2&lt;=SUM(Assumptions!$B$7:$B$8),"Q2",IF(COLUMN(X52)-2&lt;=SUM(Assumptions!$B$7:$B$9),"Q3","Q4")))</f>
        <v>Q2</v>
      </c>
      <c r="Y51" s="89" t="str">
        <f>IF(COLUMN(Y52)-2&lt;=Assumptions!$B$7,"Q1",IF(COLUMN(Y52)-2&lt;=SUM(Assumptions!$B$7:$B$8),"Q2",IF(COLUMN(Y52)-2&lt;=SUM(Assumptions!$B$7:$B$9),"Q3","Q4")))</f>
        <v>Q2</v>
      </c>
      <c r="Z51" s="89" t="str">
        <f>IF(COLUMN(Z52)-2&lt;=Assumptions!$B$7,"Q1",IF(COLUMN(Z52)-2&lt;=SUM(Assumptions!$B$7:$B$8),"Q2",IF(COLUMN(Z52)-2&lt;=SUM(Assumptions!$B$7:$B$9),"Q3","Q4")))</f>
        <v>Q2</v>
      </c>
      <c r="AA51" s="89" t="str">
        <f>IF(COLUMN(AA52)-2&lt;=Assumptions!$B$7,"Q1",IF(COLUMN(AA52)-2&lt;=SUM(Assumptions!$B$7:$B$8),"Q2",IF(COLUMN(AA52)-2&lt;=SUM(Assumptions!$B$7:$B$9),"Q3","Q4")))</f>
        <v>Q2</v>
      </c>
      <c r="AB51" s="89" t="str">
        <f>IF(COLUMN(AB52)-2&lt;=Assumptions!$B$7,"Q1",IF(COLUMN(AB52)-2&lt;=SUM(Assumptions!$B$7:$B$8),"Q2",IF(COLUMN(AB52)-2&lt;=SUM(Assumptions!$B$7:$B$9),"Q3","Q4")))</f>
        <v>Q2</v>
      </c>
      <c r="AC51" s="89" t="str">
        <f>IF(COLUMN(AC52)-2&lt;=Assumptions!$B$7,"Q1",IF(COLUMN(AC52)-2&lt;=SUM(Assumptions!$B$7:$B$8),"Q2",IF(COLUMN(AC52)-2&lt;=SUM(Assumptions!$B$7:$B$9),"Q3","Q4")))</f>
        <v>Q3</v>
      </c>
      <c r="AD51" s="89" t="str">
        <f>IF(COLUMN(AD52)-2&lt;=Assumptions!$B$7,"Q1",IF(COLUMN(AD52)-2&lt;=SUM(Assumptions!$B$7:$B$8),"Q2",IF(COLUMN(AD52)-2&lt;=SUM(Assumptions!$B$7:$B$9),"Q3","Q4")))</f>
        <v>Q3</v>
      </c>
      <c r="AE51" s="89" t="str">
        <f>IF(COLUMN(AE52)-2&lt;=Assumptions!$B$7,"Q1",IF(COLUMN(AE52)-2&lt;=SUM(Assumptions!$B$7:$B$8),"Q2",IF(COLUMN(AE52)-2&lt;=SUM(Assumptions!$B$7:$B$9),"Q3","Q4")))</f>
        <v>Q3</v>
      </c>
      <c r="AF51" s="89" t="str">
        <f>IF(COLUMN(AF52)-2&lt;=Assumptions!$B$7,"Q1",IF(COLUMN(AF52)-2&lt;=SUM(Assumptions!$B$7:$B$8),"Q2",IF(COLUMN(AF52)-2&lt;=SUM(Assumptions!$B$7:$B$9),"Q3","Q4")))</f>
        <v>Q3</v>
      </c>
      <c r="AG51" s="89" t="str">
        <f>IF(COLUMN(AG52)-2&lt;=Assumptions!$B$7,"Q1",IF(COLUMN(AG52)-2&lt;=SUM(Assumptions!$B$7:$B$8),"Q2",IF(COLUMN(AG52)-2&lt;=SUM(Assumptions!$B$7:$B$9),"Q3","Q4")))</f>
        <v>Q3</v>
      </c>
      <c r="AH51" s="89" t="str">
        <f>IF(COLUMN(AH52)-2&lt;=Assumptions!$B$7,"Q1",IF(COLUMN(AH52)-2&lt;=SUM(Assumptions!$B$7:$B$8),"Q2",IF(COLUMN(AH52)-2&lt;=SUM(Assumptions!$B$7:$B$9),"Q3","Q4")))</f>
        <v>Q3</v>
      </c>
      <c r="AI51" s="89" t="str">
        <f>IF(COLUMN(AI52)-2&lt;=Assumptions!$B$7,"Q1",IF(COLUMN(AI52)-2&lt;=SUM(Assumptions!$B$7:$B$8),"Q2",IF(COLUMN(AI52)-2&lt;=SUM(Assumptions!$B$7:$B$9),"Q3","Q4")))</f>
        <v>Q3</v>
      </c>
      <c r="AJ51" s="89" t="str">
        <f>IF(COLUMN(AJ52)-2&lt;=Assumptions!$B$7,"Q1",IF(COLUMN(AJ52)-2&lt;=SUM(Assumptions!$B$7:$B$8),"Q2",IF(COLUMN(AJ52)-2&lt;=SUM(Assumptions!$B$7:$B$9),"Q3","Q4")))</f>
        <v>Q3</v>
      </c>
      <c r="AK51" s="89" t="str">
        <f>IF(COLUMN(AK52)-2&lt;=Assumptions!$B$7,"Q1",IF(COLUMN(AK52)-2&lt;=SUM(Assumptions!$B$7:$B$8),"Q2",IF(COLUMN(AK52)-2&lt;=SUM(Assumptions!$B$7:$B$9),"Q3","Q4")))</f>
        <v>Q3</v>
      </c>
      <c r="AL51" s="89" t="str">
        <f>IF(COLUMN(AL52)-2&lt;=Assumptions!$B$7,"Q1",IF(COLUMN(AL52)-2&lt;=SUM(Assumptions!$B$7:$B$8),"Q2",IF(COLUMN(AL52)-2&lt;=SUM(Assumptions!$B$7:$B$9),"Q3","Q4")))</f>
        <v>Q3</v>
      </c>
      <c r="AM51" s="89" t="str">
        <f>IF(COLUMN(AM52)-2&lt;=Assumptions!$B$7,"Q1",IF(COLUMN(AM52)-2&lt;=SUM(Assumptions!$B$7:$B$8),"Q2",IF(COLUMN(AM52)-2&lt;=SUM(Assumptions!$B$7:$B$9),"Q3","Q4")))</f>
        <v>Q3</v>
      </c>
      <c r="AN51" s="89" t="str">
        <f>IF(COLUMN(AN52)-2&lt;=Assumptions!$B$7,"Q1",IF(COLUMN(AN52)-2&lt;=SUM(Assumptions!$B$7:$B$8),"Q2",IF(COLUMN(AN52)-2&lt;=SUM(Assumptions!$B$7:$B$9),"Q3","Q4")))</f>
        <v>Q3</v>
      </c>
      <c r="AO51" s="89" t="str">
        <f>IF(COLUMN(AO52)-2&lt;=Assumptions!$B$7,"Q1",IF(COLUMN(AO52)-2&lt;=SUM(Assumptions!$B$7:$B$8),"Q2",IF(COLUMN(AO52)-2&lt;=SUM(Assumptions!$B$7:$B$9),"Q3","Q4")))</f>
        <v>Q3</v>
      </c>
      <c r="AP51" s="89" t="str">
        <f>IF(COLUMN(AP52)-2&lt;=Assumptions!$B$7,"Q1",IF(COLUMN(AP52)-2&lt;=SUM(Assumptions!$B$7:$B$8),"Q2",IF(COLUMN(AP52)-2&lt;=SUM(Assumptions!$B$7:$B$9),"Q3","Q4")))</f>
        <v>Q4</v>
      </c>
      <c r="AQ51" s="89" t="str">
        <f>IF(COLUMN(AQ52)-2&lt;=Assumptions!$B$7,"Q1",IF(COLUMN(AQ52)-2&lt;=SUM(Assumptions!$B$7:$B$8),"Q2",IF(COLUMN(AQ52)-2&lt;=SUM(Assumptions!$B$7:$B$9),"Q3","Q4")))</f>
        <v>Q4</v>
      </c>
      <c r="AR51" s="89" t="str">
        <f>IF(COLUMN(AR52)-2&lt;=Assumptions!$B$7,"Q1",IF(COLUMN(AR52)-2&lt;=SUM(Assumptions!$B$7:$B$8),"Q2",IF(COLUMN(AR52)-2&lt;=SUM(Assumptions!$B$7:$B$9),"Q3","Q4")))</f>
        <v>Q4</v>
      </c>
      <c r="AS51" s="89" t="str">
        <f>IF(COLUMN(AS52)-2&lt;=Assumptions!$B$7,"Q1",IF(COLUMN(AS52)-2&lt;=SUM(Assumptions!$B$7:$B$8),"Q2",IF(COLUMN(AS52)-2&lt;=SUM(Assumptions!$B$7:$B$9),"Q3","Q4")))</f>
        <v>Q4</v>
      </c>
      <c r="AT51" s="89" t="str">
        <f>IF(COLUMN(AT52)-2&lt;=Assumptions!$B$7,"Q1",IF(COLUMN(AT52)-2&lt;=SUM(Assumptions!$B$7:$B$8),"Q2",IF(COLUMN(AT52)-2&lt;=SUM(Assumptions!$B$7:$B$9),"Q3","Q4")))</f>
        <v>Q4</v>
      </c>
      <c r="AU51" s="89" t="str">
        <f>IF(COLUMN(AU52)-2&lt;=Assumptions!$B$7,"Q1",IF(COLUMN(AU52)-2&lt;=SUM(Assumptions!$B$7:$B$8),"Q2",IF(COLUMN(AU52)-2&lt;=SUM(Assumptions!$B$7:$B$9),"Q3","Q4")))</f>
        <v>Q4</v>
      </c>
      <c r="AV51" s="89" t="str">
        <f>IF(COLUMN(AV52)-2&lt;=Assumptions!$B$7,"Q1",IF(COLUMN(AV52)-2&lt;=SUM(Assumptions!$B$7:$B$8),"Q2",IF(COLUMN(AV52)-2&lt;=SUM(Assumptions!$B$7:$B$9),"Q3","Q4")))</f>
        <v>Q4</v>
      </c>
      <c r="AW51" s="89" t="str">
        <f>IF(COLUMN(AW52)-2&lt;=Assumptions!$B$7,"Q1",IF(COLUMN(AW52)-2&lt;=SUM(Assumptions!$B$7:$B$8),"Q2",IF(COLUMN(AW52)-2&lt;=SUM(Assumptions!$B$7:$B$9),"Q3","Q4")))</f>
        <v>Q4</v>
      </c>
      <c r="AX51" s="89" t="str">
        <f>IF(COLUMN(AX52)-2&lt;=Assumptions!$B$7,"Q1",IF(COLUMN(AX52)-2&lt;=SUM(Assumptions!$B$7:$B$8),"Q2",IF(COLUMN(AX52)-2&lt;=SUM(Assumptions!$B$7:$B$9),"Q3","Q4")))</f>
        <v>Q4</v>
      </c>
      <c r="AY51" s="89" t="str">
        <f>IF(COLUMN(AY52)-2&lt;=Assumptions!$B$7,"Q1",IF(COLUMN(AY52)-2&lt;=SUM(Assumptions!$B$7:$B$8),"Q2",IF(COLUMN(AY52)-2&lt;=SUM(Assumptions!$B$7:$B$9),"Q3","Q4")))</f>
        <v>Q4</v>
      </c>
      <c r="AZ51" s="89" t="str">
        <f>IF(COLUMN(AZ52)-2&lt;=Assumptions!$B$7,"Q1",IF(COLUMN(AZ52)-2&lt;=SUM(Assumptions!$B$7:$B$8),"Q2",IF(COLUMN(AZ52)-2&lt;=SUM(Assumptions!$B$7:$B$9),"Q3","Q4")))</f>
        <v>Q4</v>
      </c>
      <c r="BA51" s="89" t="str">
        <f>IF(COLUMN(BA52)-2&lt;=Assumptions!$B$7,"Q1",IF(COLUMN(BA52)-2&lt;=SUM(Assumptions!$B$7:$B$8),"Q2",IF(COLUMN(BA52)-2&lt;=SUM(Assumptions!$B$7:$B$9),"Q3","Q4")))</f>
        <v>Q4</v>
      </c>
      <c r="BB51" s="89" t="str">
        <f>IF(COLUMN(BB52)-2&lt;=Assumptions!$B$7,"Q1",IF(COLUMN(BB52)-2&lt;=SUM(Assumptions!$B$7:$B$8),"Q2",IF(COLUMN(BB52)-2&lt;=SUM(Assumptions!$B$7:$B$9),"Q3","Q4")))</f>
        <v>Q4</v>
      </c>
      <c r="BC51" s="91" t="s">
        <v>101</v>
      </c>
      <c r="BD51" s="91" t="s">
        <v>102</v>
      </c>
      <c r="BE51" s="91" t="s">
        <v>103</v>
      </c>
      <c r="BF51" s="91" t="s">
        <v>104</v>
      </c>
      <c r="BG51" s="92"/>
    </row>
    <row r="52" spans="2:59" ht="15" customHeight="1" x14ac:dyDescent="0.3">
      <c r="B52" s="67"/>
      <c r="C52" s="68">
        <f ca="1">IF(ISBLANK(Assumptions!$B$5)=TRUE,DATE(YEAR(TODAY()),MONTH(TODAY()),7),DATE(YEAR(Assumptions!$B$5),MONTH(Assumptions!$B$5),DAY(Assumptions!$B$5)+6))</f>
        <v>42435</v>
      </c>
      <c r="D52" s="68">
        <f t="shared" ref="D52:AI52" ca="1" si="8">DATE(YEAR(OFFSET(D51,1,-1,1,1)),MONTH(OFFSET(D51,1,-1,1,1)),DAY(OFFSET(D51,1,-1,1,1))+7)</f>
        <v>42442</v>
      </c>
      <c r="E52" s="68">
        <f t="shared" ca="1" si="8"/>
        <v>42449</v>
      </c>
      <c r="F52" s="68">
        <f t="shared" ca="1" si="8"/>
        <v>42456</v>
      </c>
      <c r="G52" s="68">
        <f t="shared" ca="1" si="8"/>
        <v>42463</v>
      </c>
      <c r="H52" s="68">
        <f t="shared" ca="1" si="8"/>
        <v>42470</v>
      </c>
      <c r="I52" s="68">
        <f t="shared" ca="1" si="8"/>
        <v>42477</v>
      </c>
      <c r="J52" s="68">
        <f t="shared" ca="1" si="8"/>
        <v>42484</v>
      </c>
      <c r="K52" s="68">
        <f t="shared" ca="1" si="8"/>
        <v>42491</v>
      </c>
      <c r="L52" s="68">
        <f t="shared" ca="1" si="8"/>
        <v>42498</v>
      </c>
      <c r="M52" s="68">
        <f t="shared" ca="1" si="8"/>
        <v>42505</v>
      </c>
      <c r="N52" s="68">
        <f t="shared" ca="1" si="8"/>
        <v>42512</v>
      </c>
      <c r="O52" s="68">
        <f t="shared" ca="1" si="8"/>
        <v>42519</v>
      </c>
      <c r="P52" s="68">
        <f t="shared" ca="1" si="8"/>
        <v>42526</v>
      </c>
      <c r="Q52" s="68">
        <f t="shared" ca="1" si="8"/>
        <v>42533</v>
      </c>
      <c r="R52" s="68">
        <f t="shared" ca="1" si="8"/>
        <v>42540</v>
      </c>
      <c r="S52" s="68">
        <f t="shared" ca="1" si="8"/>
        <v>42547</v>
      </c>
      <c r="T52" s="68">
        <f t="shared" ca="1" si="8"/>
        <v>42554</v>
      </c>
      <c r="U52" s="68">
        <f t="shared" ca="1" si="8"/>
        <v>42561</v>
      </c>
      <c r="V52" s="68">
        <f t="shared" ca="1" si="8"/>
        <v>42568</v>
      </c>
      <c r="W52" s="68">
        <f t="shared" ca="1" si="8"/>
        <v>42575</v>
      </c>
      <c r="X52" s="68">
        <f t="shared" ca="1" si="8"/>
        <v>42582</v>
      </c>
      <c r="Y52" s="68">
        <f t="shared" ca="1" si="8"/>
        <v>42589</v>
      </c>
      <c r="Z52" s="68">
        <f t="shared" ca="1" si="8"/>
        <v>42596</v>
      </c>
      <c r="AA52" s="68">
        <f t="shared" ca="1" si="8"/>
        <v>42603</v>
      </c>
      <c r="AB52" s="68">
        <f t="shared" ca="1" si="8"/>
        <v>42610</v>
      </c>
      <c r="AC52" s="68">
        <f t="shared" ca="1" si="8"/>
        <v>42617</v>
      </c>
      <c r="AD52" s="68">
        <f t="shared" ca="1" si="8"/>
        <v>42624</v>
      </c>
      <c r="AE52" s="68">
        <f t="shared" ca="1" si="8"/>
        <v>42631</v>
      </c>
      <c r="AF52" s="68">
        <f t="shared" ca="1" si="8"/>
        <v>42638</v>
      </c>
      <c r="AG52" s="68">
        <f t="shared" ca="1" si="8"/>
        <v>42645</v>
      </c>
      <c r="AH52" s="68">
        <f t="shared" ca="1" si="8"/>
        <v>42652</v>
      </c>
      <c r="AI52" s="68">
        <f t="shared" ca="1" si="8"/>
        <v>42659</v>
      </c>
      <c r="AJ52" s="68">
        <f t="shared" ref="AJ52:BB52" ca="1" si="9">DATE(YEAR(OFFSET(AJ51,1,-1,1,1)),MONTH(OFFSET(AJ51,1,-1,1,1)),DAY(OFFSET(AJ51,1,-1,1,1))+7)</f>
        <v>42666</v>
      </c>
      <c r="AK52" s="68">
        <f t="shared" ca="1" si="9"/>
        <v>42673</v>
      </c>
      <c r="AL52" s="68">
        <f t="shared" ca="1" si="9"/>
        <v>42680</v>
      </c>
      <c r="AM52" s="68">
        <f t="shared" ca="1" si="9"/>
        <v>42687</v>
      </c>
      <c r="AN52" s="68">
        <f t="shared" ca="1" si="9"/>
        <v>42694</v>
      </c>
      <c r="AO52" s="68">
        <f t="shared" ca="1" si="9"/>
        <v>42701</v>
      </c>
      <c r="AP52" s="68">
        <f t="shared" ca="1" si="9"/>
        <v>42708</v>
      </c>
      <c r="AQ52" s="68">
        <f t="shared" ca="1" si="9"/>
        <v>42715</v>
      </c>
      <c r="AR52" s="68">
        <f t="shared" ca="1" si="9"/>
        <v>42722</v>
      </c>
      <c r="AS52" s="68">
        <f t="shared" ca="1" si="9"/>
        <v>42729</v>
      </c>
      <c r="AT52" s="68">
        <f t="shared" ca="1" si="9"/>
        <v>42736</v>
      </c>
      <c r="AU52" s="68">
        <f t="shared" ca="1" si="9"/>
        <v>42743</v>
      </c>
      <c r="AV52" s="68">
        <f t="shared" ca="1" si="9"/>
        <v>42750</v>
      </c>
      <c r="AW52" s="68">
        <f t="shared" ca="1" si="9"/>
        <v>42757</v>
      </c>
      <c r="AX52" s="68">
        <f t="shared" ca="1" si="9"/>
        <v>42764</v>
      </c>
      <c r="AY52" s="68">
        <f t="shared" ca="1" si="9"/>
        <v>42771</v>
      </c>
      <c r="AZ52" s="68">
        <f t="shared" ca="1" si="9"/>
        <v>42778</v>
      </c>
      <c r="BA52" s="68">
        <f t="shared" ca="1" si="9"/>
        <v>42785</v>
      </c>
      <c r="BB52" s="68">
        <f t="shared" ca="1" si="9"/>
        <v>42792</v>
      </c>
      <c r="BC52" s="69" t="s">
        <v>87</v>
      </c>
      <c r="BD52" s="69" t="s">
        <v>88</v>
      </c>
      <c r="BE52" s="69" t="s">
        <v>89</v>
      </c>
      <c r="BF52" s="69" t="s">
        <v>90</v>
      </c>
      <c r="BG52" s="69" t="str">
        <f ca="1">"Total "&amp;YEAR(OFFSET($BC$52,0,-1,1,1))</f>
        <v>Total 2017</v>
      </c>
    </row>
    <row r="53" spans="2:59" ht="15" customHeight="1" x14ac:dyDescent="0.35">
      <c r="B53" s="11" t="s">
        <v>67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</row>
    <row r="54" spans="2:59" ht="15" customHeight="1" x14ac:dyDescent="0.3">
      <c r="B54" s="24" t="s">
        <v>64</v>
      </c>
      <c r="C54" s="25">
        <f ca="1">OFFSET(Actual!$B$45,0,COLUMN(C$52)-COLUMN($B$52),1,1)</f>
        <v>6696</v>
      </c>
      <c r="D54" s="25">
        <f ca="1">OFFSET(Actual!$B$45,0,COLUMN(D$52)-COLUMN($B$52),1,1)</f>
        <v>6966</v>
      </c>
      <c r="E54" s="25">
        <f ca="1">OFFSET(Actual!$B$45,0,COLUMN(E$52)-COLUMN($B$52),1,1)</f>
        <v>11545.2</v>
      </c>
      <c r="F54" s="25">
        <f ca="1">OFFSET(Actual!$B$45,0,COLUMN(F$52)-COLUMN($B$52),1,1)</f>
        <v>18162</v>
      </c>
      <c r="G54" s="25">
        <f ca="1">OFFSET(Actual!$B$45,0,COLUMN(G$52)-COLUMN($B$52),1,1)</f>
        <v>-2363.0399999999991</v>
      </c>
      <c r="H54" s="25">
        <f ca="1">OFFSET(Actual!$B$45,0,COLUMN(H$52)-COLUMN($B$52),1,1)</f>
        <v>-3637.4399999999987</v>
      </c>
      <c r="I54" s="25">
        <f ca="1">OFFSET(Actual!$B$45,0,COLUMN(I$52)-COLUMN($B$52),1,1)</f>
        <v>11810.88</v>
      </c>
      <c r="J54" s="25">
        <f ca="1">OFFSET(Actual!$B$45,0,COLUMN(J$52)-COLUMN($B$52),1,1)</f>
        <v>6638.3999999999978</v>
      </c>
      <c r="K54" s="25">
        <f ca="1">OFFSET(Actual!$B$45,0,COLUMN(K$52)-COLUMN($B$52),1,1)</f>
        <v>-1840.3199999999997</v>
      </c>
      <c r="L54" s="25">
        <f ca="1">OFFSET(Actual!$B$45,0,COLUMN(L$52)-COLUMN($B$52),1,1)</f>
        <v>6609.6000000000022</v>
      </c>
      <c r="M54" s="25">
        <f ca="1">OFFSET(Actual!$B$45,0,COLUMN(M$52)-COLUMN($B$52),1,1)</f>
        <v>10824.48</v>
      </c>
      <c r="N54" s="25">
        <f ca="1">OFFSET(Actual!$B$45,0,COLUMN(N$52)-COLUMN($B$52),1,1)</f>
        <v>17020.8</v>
      </c>
      <c r="O54" s="25">
        <f ca="1">OFFSET(Actual!$B$45,0,COLUMN(O$52)-COLUMN($B$52),1,1)</f>
        <v>-16721.28</v>
      </c>
      <c r="P54" s="25">
        <f ca="1">OFFSET(Actual!$B$45,0,COLUMN(P$52)-COLUMN($B$52),1,1)</f>
        <v>11354.399999999998</v>
      </c>
      <c r="Q54" s="25">
        <f ca="1">OFFSET(Actual!$B$45,0,COLUMN(Q$52)-COLUMN($B$52),1,1)</f>
        <v>10162.799999999999</v>
      </c>
      <c r="R54" s="25">
        <f ca="1">OFFSET(Actual!$B$45,0,COLUMN(R$52)-COLUMN($B$52),1,1)</f>
        <v>17317.800000000003</v>
      </c>
      <c r="S54" s="25">
        <f ca="1">OFFSET(Actual!$B$45,0,COLUMN(S$52)-COLUMN($B$52),1,1)</f>
        <v>8285.9039999999914</v>
      </c>
      <c r="T54" s="25">
        <f ca="1">OFFSET(Actual!$B$45,0,COLUMN(T$52)-COLUMN($B$52),1,1)</f>
        <v>154.08000000000175</v>
      </c>
      <c r="U54" s="25">
        <f ca="1">OFFSET(Actual!$B$45,0,COLUMN(U$52)-COLUMN($B$52),1,1)</f>
        <v>-1105.9919999999984</v>
      </c>
      <c r="V54" s="25">
        <f ca="1">OFFSET(Actual!$B$45,0,COLUMN(V$52)-COLUMN($B$52),1,1)</f>
        <v>19252.800000000003</v>
      </c>
      <c r="W54" s="25">
        <f ca="1">OFFSET(Actual!$B$45,0,COLUMN(W$52)-COLUMN($B$52),1,1)</f>
        <v>9185.760000000002</v>
      </c>
      <c r="X54" s="25">
        <f ca="1">OFFSET(Actual!$B$45,0,COLUMN(X$52)-COLUMN($B$52),1,1)</f>
        <v>-1308.5640000000021</v>
      </c>
      <c r="Y54" s="25">
        <f ca="1">OFFSET(Actual!$B$45,0,COLUMN(Y$52)-COLUMN($B$52),1,1)</f>
        <v>9318.7152000000024</v>
      </c>
      <c r="Z54" s="25">
        <f ca="1">OFFSET(Actual!$B$45,0,COLUMN(Z$52)-COLUMN($B$52),1,1)</f>
        <v>5463.3024000000005</v>
      </c>
      <c r="AA54" s="25">
        <f ca="1">OFFSET(Actual!$B$45,0,COLUMN(AA$52)-COLUMN($B$52),1,1)</f>
        <v>16387.200000000004</v>
      </c>
      <c r="AB54" s="25">
        <f ca="1">OFFSET(Actual!$B$45,0,COLUMN(AB$52)-COLUMN($B$52),1,1)</f>
        <v>-5750.6399999999994</v>
      </c>
      <c r="AC54" s="25">
        <f ca="1">OFFSET(Actual!$B$45,0,COLUMN(AC$52)-COLUMN($B$52),1,1)</f>
        <v>10535.327999999987</v>
      </c>
      <c r="AD54" s="25">
        <f ca="1">OFFSET(Actual!$B$45,0,COLUMN(AD$52)-COLUMN($B$52),1,1)</f>
        <v>14759.279999999999</v>
      </c>
      <c r="AE54" s="25">
        <f ca="1">OFFSET(Actual!$B$45,0,COLUMN(AE$52)-COLUMN($B$52),1,1)</f>
        <v>22422.240000000005</v>
      </c>
      <c r="AF54" s="25">
        <f ca="1">OFFSET(Actual!$B$45,0,COLUMN(AF$52)-COLUMN($B$52),1,1)</f>
        <v>22588.415999999997</v>
      </c>
      <c r="AG54" s="25">
        <f ca="1">OFFSET(Actual!$B$45,0,COLUMN(AG$52)-COLUMN($B$52),1,1)</f>
        <v>5830.9920000000056</v>
      </c>
      <c r="AH54" s="25">
        <f ca="1">OFFSET(Actual!$B$45,0,COLUMN(AH$52)-COLUMN($B$52),1,1)</f>
        <v>4362.0480000000025</v>
      </c>
      <c r="AI54" s="25">
        <f ca="1">OFFSET(Actual!$B$45,0,COLUMN(AI$52)-COLUMN($B$52),1,1)</f>
        <v>22350.383999999998</v>
      </c>
      <c r="AJ54" s="25">
        <f ca="1">OFFSET(Actual!$B$45,0,COLUMN(AJ$52)-COLUMN($B$52),1,1)</f>
        <v>18446.97600000001</v>
      </c>
      <c r="AK54" s="25">
        <f ca="1">OFFSET(Actual!$B$45,0,COLUMN(AK$52)-COLUMN($B$52),1,1)</f>
        <v>-3855.0959999999977</v>
      </c>
      <c r="AL54" s="25">
        <f ca="1">OFFSET(Actual!$B$45,0,COLUMN(AL$52)-COLUMN($B$52),1,1)</f>
        <v>14884.559999999998</v>
      </c>
      <c r="AM54" s="25">
        <f ca="1">OFFSET(Actual!$B$45,0,COLUMN(AM$52)-COLUMN($B$52),1,1)</f>
        <v>19080.431999999993</v>
      </c>
      <c r="AN54" s="25">
        <f ca="1">OFFSET(Actual!$B$45,0,COLUMN(AN$52)-COLUMN($B$52),1,1)</f>
        <v>22412.419200000018</v>
      </c>
      <c r="AO54" s="25">
        <f ca="1">OFFSET(Actual!$B$45,0,COLUMN(AO$52)-COLUMN($B$52),1,1)</f>
        <v>-14466.29760000002</v>
      </c>
      <c r="AP54" s="25">
        <f ca="1">OFFSET(Actual!$B$45,0,COLUMN(AP$52)-COLUMN($B$52),1,1)</f>
        <v>21886.977600000013</v>
      </c>
      <c r="AQ54" s="25">
        <f ca="1">OFFSET(Actual!$B$45,0,COLUMN(AQ$52)-COLUMN($B$52),1,1)</f>
        <v>4437.359999999986</v>
      </c>
      <c r="AR54" s="25">
        <f ca="1">OFFSET(Actual!$B$45,0,COLUMN(AR$52)-COLUMN($B$52),1,1)</f>
        <v>2297.1600000000071</v>
      </c>
      <c r="AS54" s="25">
        <f ca="1">OFFSET(Actual!$B$45,0,COLUMN(AS$52)-COLUMN($B$52),1,1)</f>
        <v>11830.679999999993</v>
      </c>
      <c r="AT54" s="25">
        <f ca="1">OFFSET(Actual!$B$45,0,COLUMN(AT$52)-COLUMN($B$52),1,1)</f>
        <v>-7833.5999999999767</v>
      </c>
      <c r="AU54" s="25">
        <f ca="1">OFFSET(Actual!$B$45,0,COLUMN(AU$52)-COLUMN($B$52),1,1)</f>
        <v>417.95999999999185</v>
      </c>
      <c r="AV54" s="25">
        <f ca="1">OFFSET(Actual!$B$45,0,COLUMN(AV$52)-COLUMN($B$52),1,1)</f>
        <v>15290.279999999999</v>
      </c>
      <c r="AW54" s="25">
        <f ca="1">OFFSET(Actual!$B$45,0,COLUMN(AW$52)-COLUMN($B$52),1,1)</f>
        <v>26165.447999999982</v>
      </c>
      <c r="AX54" s="25">
        <f ca="1">OFFSET(Actual!$B$45,0,COLUMN(AX$52)-COLUMN($B$52),1,1)</f>
        <v>-4023.4319999999934</v>
      </c>
      <c r="AY54" s="25">
        <f ca="1">OFFSET(Actual!$B$45,0,COLUMN(AY$52)-COLUMN($B$52),1,1)</f>
        <v>17943.119999999995</v>
      </c>
      <c r="AZ54" s="25">
        <f ca="1">OFFSET(Actual!$B$45,0,COLUMN(AZ$52)-COLUMN($B$52),1,1)</f>
        <v>18687.239999999991</v>
      </c>
      <c r="BA54" s="25">
        <f ca="1">OFFSET(Actual!$B$45,0,COLUMN(BA$52)-COLUMN($B$52),1,1)</f>
        <v>20898.360000000015</v>
      </c>
      <c r="BB54" s="25">
        <f ca="1">OFFSET(Actual!$B$45,0,COLUMN(BB$52)-COLUMN($B$52),1,1)</f>
        <v>-5566.1759999999849</v>
      </c>
      <c r="BC54" s="25">
        <f ca="1">SUM(OFFSET($B54,0,1,1,Assumptions!$B$7))</f>
        <v>71711.28</v>
      </c>
      <c r="BD54" s="25">
        <f ca="1">SUM(OFFSET($B54,0,1+Assumptions!$B$7,1,SUM(Assumptions!$B$8)))</f>
        <v>98717.565600000016</v>
      </c>
      <c r="BE54" s="25">
        <f ca="1">SUM(OFFSET($B54,0,1+SUM(Assumptions!$B$7:$B$8),1,SUM(Assumptions!$B$9)))</f>
        <v>159351.68159999998</v>
      </c>
      <c r="BF54" s="25">
        <f ca="1">SUM(OFFSET($B54,0,1+SUM(Assumptions!$B$7:$B$9),1,SUM(Assumptions!$B$10)))</f>
        <v>122431.37760000001</v>
      </c>
      <c r="BG54" s="25">
        <f ca="1">SUM(BC54:BF54)</f>
        <v>452211.90480000002</v>
      </c>
    </row>
    <row r="55" spans="2:59" ht="15" customHeight="1" x14ac:dyDescent="0.3">
      <c r="B55" s="24" t="s">
        <v>47</v>
      </c>
      <c r="C55" s="25">
        <f ca="1">OFFSET(Actual!$B$42,0,COLUMN(C$52)-COLUMN($B$52),1,1)</f>
        <v>0</v>
      </c>
      <c r="D55" s="25">
        <f ca="1">OFFSET(Actual!$B$42,0,COLUMN(D$52)-COLUMN($B$52),1,1)</f>
        <v>8250</v>
      </c>
      <c r="E55" s="25">
        <f ca="1">OFFSET(Actual!$B$42,0,COLUMN(E$52)-COLUMN($B$52),1,1)</f>
        <v>0</v>
      </c>
      <c r="F55" s="25">
        <f ca="1">OFFSET(Actual!$B$42,0,COLUMN(F$52)-COLUMN($B$52),1,1)</f>
        <v>0</v>
      </c>
      <c r="G55" s="25">
        <f ca="1">OFFSET(Actual!$B$42,0,COLUMN(G$52)-COLUMN($B$52),1,1)</f>
        <v>0</v>
      </c>
      <c r="H55" s="25">
        <f ca="1">OFFSET(Actual!$B$42,0,COLUMN(H$52)-COLUMN($B$52),1,1)</f>
        <v>8140</v>
      </c>
      <c r="I55" s="25">
        <f ca="1">OFFSET(Actual!$B$42,0,COLUMN(I$52)-COLUMN($B$52),1,1)</f>
        <v>0</v>
      </c>
      <c r="J55" s="25">
        <f ca="1">OFFSET(Actual!$B$42,0,COLUMN(J$52)-COLUMN($B$52),1,1)</f>
        <v>0</v>
      </c>
      <c r="K55" s="25">
        <f ca="1">OFFSET(Actual!$B$42,0,COLUMN(K$52)-COLUMN($B$52),1,1)</f>
        <v>0</v>
      </c>
      <c r="L55" s="25">
        <f ca="1">OFFSET(Actual!$B$42,0,COLUMN(L$52)-COLUMN($B$52),1,1)</f>
        <v>0</v>
      </c>
      <c r="M55" s="25">
        <f ca="1">OFFSET(Actual!$B$42,0,COLUMN(M$52)-COLUMN($B$52),1,1)</f>
        <v>8030</v>
      </c>
      <c r="N55" s="25">
        <f ca="1">OFFSET(Actual!$B$42,0,COLUMN(N$52)-COLUMN($B$52),1,1)</f>
        <v>0</v>
      </c>
      <c r="O55" s="25">
        <f ca="1">OFFSET(Actual!$B$42,0,COLUMN(O$52)-COLUMN($B$52),1,1)</f>
        <v>0</v>
      </c>
      <c r="P55" s="25">
        <f ca="1">OFFSET(Actual!$B$42,0,COLUMN(P$52)-COLUMN($B$52),1,1)</f>
        <v>0</v>
      </c>
      <c r="Q55" s="25">
        <f ca="1">OFFSET(Actual!$B$42,0,COLUMN(Q$52)-COLUMN($B$52),1,1)</f>
        <v>8290</v>
      </c>
      <c r="R55" s="25">
        <f ca="1">OFFSET(Actual!$B$42,0,COLUMN(R$52)-COLUMN($B$52),1,1)</f>
        <v>0</v>
      </c>
      <c r="S55" s="25">
        <f ca="1">OFFSET(Actual!$B$42,0,COLUMN(S$52)-COLUMN($B$52),1,1)</f>
        <v>0</v>
      </c>
      <c r="T55" s="25">
        <f ca="1">OFFSET(Actual!$B$42,0,COLUMN(T$52)-COLUMN($B$52),1,1)</f>
        <v>0</v>
      </c>
      <c r="U55" s="25">
        <f ca="1">OFFSET(Actual!$B$42,0,COLUMN(U$52)-COLUMN($B$52),1,1)</f>
        <v>8180</v>
      </c>
      <c r="V55" s="25">
        <f ca="1">OFFSET(Actual!$B$42,0,COLUMN(V$52)-COLUMN($B$52),1,1)</f>
        <v>0</v>
      </c>
      <c r="W55" s="25">
        <f ca="1">OFFSET(Actual!$B$42,0,COLUMN(W$52)-COLUMN($B$52),1,1)</f>
        <v>0</v>
      </c>
      <c r="X55" s="25">
        <f ca="1">OFFSET(Actual!$B$42,0,COLUMN(X$52)-COLUMN($B$52),1,1)</f>
        <v>0</v>
      </c>
      <c r="Y55" s="25">
        <f ca="1">OFFSET(Actual!$B$42,0,COLUMN(Y$52)-COLUMN($B$52),1,1)</f>
        <v>0</v>
      </c>
      <c r="Z55" s="25">
        <f ca="1">OFFSET(Actual!$B$42,0,COLUMN(Z$52)-COLUMN($B$52),1,1)</f>
        <v>8060</v>
      </c>
      <c r="AA55" s="25">
        <f ca="1">OFFSET(Actual!$B$42,0,COLUMN(AA$52)-COLUMN($B$52),1,1)</f>
        <v>0</v>
      </c>
      <c r="AB55" s="25">
        <f ca="1">OFFSET(Actual!$B$42,0,COLUMN(AB$52)-COLUMN($B$52),1,1)</f>
        <v>0</v>
      </c>
      <c r="AC55" s="25">
        <f ca="1">OFFSET(Actual!$B$42,0,COLUMN(AC$52)-COLUMN($B$52),1,1)</f>
        <v>0</v>
      </c>
      <c r="AD55" s="25">
        <f ca="1">OFFSET(Actual!$B$42,0,COLUMN(AD$52)-COLUMN($B$52),1,1)</f>
        <v>7940</v>
      </c>
      <c r="AE55" s="25">
        <f ca="1">OFFSET(Actual!$B$42,0,COLUMN(AE$52)-COLUMN($B$52),1,1)</f>
        <v>0</v>
      </c>
      <c r="AF55" s="25">
        <f ca="1">OFFSET(Actual!$B$42,0,COLUMN(AF$52)-COLUMN($B$52),1,1)</f>
        <v>0</v>
      </c>
      <c r="AG55" s="25">
        <f ca="1">OFFSET(Actual!$B$42,0,COLUMN(AG$52)-COLUMN($B$52),1,1)</f>
        <v>0</v>
      </c>
      <c r="AH55" s="25">
        <f ca="1">OFFSET(Actual!$B$42,0,COLUMN(AH$52)-COLUMN($B$52),1,1)</f>
        <v>7820</v>
      </c>
      <c r="AI55" s="25">
        <f ca="1">OFFSET(Actual!$B$42,0,COLUMN(AI$52)-COLUMN($B$52),1,1)</f>
        <v>0</v>
      </c>
      <c r="AJ55" s="25">
        <f ca="1">OFFSET(Actual!$B$42,0,COLUMN(AJ$52)-COLUMN($B$52),1,1)</f>
        <v>0</v>
      </c>
      <c r="AK55" s="25">
        <f ca="1">OFFSET(Actual!$B$42,0,COLUMN(AK$52)-COLUMN($B$52),1,1)</f>
        <v>0</v>
      </c>
      <c r="AL55" s="25">
        <f ca="1">OFFSET(Actual!$B$42,0,COLUMN(AL$52)-COLUMN($B$52),1,1)</f>
        <v>0</v>
      </c>
      <c r="AM55" s="25">
        <f ca="1">OFFSET(Actual!$B$42,0,COLUMN(AM$52)-COLUMN($B$52),1,1)</f>
        <v>7700</v>
      </c>
      <c r="AN55" s="25">
        <f ca="1">OFFSET(Actual!$B$42,0,COLUMN(AN$52)-COLUMN($B$52),1,1)</f>
        <v>0</v>
      </c>
      <c r="AO55" s="25">
        <f ca="1">OFFSET(Actual!$B$42,0,COLUMN(AO$52)-COLUMN($B$52),1,1)</f>
        <v>0</v>
      </c>
      <c r="AP55" s="25">
        <f ca="1">OFFSET(Actual!$B$42,0,COLUMN(AP$52)-COLUMN($B$52),1,1)</f>
        <v>0</v>
      </c>
      <c r="AQ55" s="25">
        <f ca="1">OFFSET(Actual!$B$42,0,COLUMN(AQ$52)-COLUMN($B$52),1,1)</f>
        <v>7580</v>
      </c>
      <c r="AR55" s="25">
        <f ca="1">OFFSET(Actual!$B$42,0,COLUMN(AR$52)-COLUMN($B$52),1,1)</f>
        <v>0</v>
      </c>
      <c r="AS55" s="25">
        <f ca="1">OFFSET(Actual!$B$42,0,COLUMN(AS$52)-COLUMN($B$52),1,1)</f>
        <v>0</v>
      </c>
      <c r="AT55" s="25">
        <f ca="1">OFFSET(Actual!$B$42,0,COLUMN(AT$52)-COLUMN($B$52),1,1)</f>
        <v>0</v>
      </c>
      <c r="AU55" s="25">
        <f ca="1">OFFSET(Actual!$B$42,0,COLUMN(AU$52)-COLUMN($B$52),1,1)</f>
        <v>0</v>
      </c>
      <c r="AV55" s="25">
        <f ca="1">OFFSET(Actual!$B$42,0,COLUMN(AV$52)-COLUMN($B$52),1,1)</f>
        <v>7460</v>
      </c>
      <c r="AW55" s="25">
        <f ca="1">OFFSET(Actual!$B$42,0,COLUMN(AW$52)-COLUMN($B$52),1,1)</f>
        <v>0</v>
      </c>
      <c r="AX55" s="25">
        <f ca="1">OFFSET(Actual!$B$42,0,COLUMN(AX$52)-COLUMN($B$52),1,1)</f>
        <v>0</v>
      </c>
      <c r="AY55" s="25">
        <f ca="1">OFFSET(Actual!$B$42,0,COLUMN(AY$52)-COLUMN($B$52),1,1)</f>
        <v>0</v>
      </c>
      <c r="AZ55" s="25">
        <f ca="1">OFFSET(Actual!$B$42,0,COLUMN(AZ$52)-COLUMN($B$52),1,1)</f>
        <v>7330</v>
      </c>
      <c r="BA55" s="25">
        <f ca="1">OFFSET(Actual!$B$42,0,COLUMN(BA$52)-COLUMN($B$52),1,1)</f>
        <v>0</v>
      </c>
      <c r="BB55" s="25">
        <f ca="1">OFFSET(Actual!$B$42,0,COLUMN(BB$52)-COLUMN($B$52),1,1)</f>
        <v>0</v>
      </c>
      <c r="BC55" s="25">
        <f ca="1">SUM(OFFSET($B55,0,1,1,Assumptions!$B$7))</f>
        <v>24420</v>
      </c>
      <c r="BD55" s="25">
        <f ca="1">SUM(OFFSET($B55,0,1+Assumptions!$B$7,1,SUM(Assumptions!$B$8)))</f>
        <v>24530</v>
      </c>
      <c r="BE55" s="25">
        <f ca="1">SUM(OFFSET($B55,0,1+SUM(Assumptions!$B$7:$B$8),1,SUM(Assumptions!$B$9)))</f>
        <v>23460</v>
      </c>
      <c r="BF55" s="25">
        <f ca="1">SUM(OFFSET($B55,0,1+SUM(Assumptions!$B$7:$B$9),1,SUM(Assumptions!$B$10)))</f>
        <v>22370</v>
      </c>
      <c r="BG55" s="25">
        <f ca="1">SUM(BC55:BF55)</f>
        <v>94780</v>
      </c>
    </row>
    <row r="56" spans="2:59" ht="15" customHeight="1" x14ac:dyDescent="0.3">
      <c r="B56" s="24" t="s">
        <v>41</v>
      </c>
      <c r="C56" s="25">
        <f ca="1">OFFSET(Actual!$B$43,0,COLUMN(C$52)-COLUMN($B$52),1,1)</f>
        <v>2604.0000000000005</v>
      </c>
      <c r="D56" s="25">
        <f ca="1">OFFSET(Actual!$B$43,0,COLUMN(D$52)-COLUMN($B$52),1,1)</f>
        <v>2709.0000000000005</v>
      </c>
      <c r="E56" s="25">
        <f ca="1">OFFSET(Actual!$B$43,0,COLUMN(E$52)-COLUMN($B$52),1,1)</f>
        <v>4489.8</v>
      </c>
      <c r="F56" s="25">
        <f ca="1">OFFSET(Actual!$B$43,0,COLUMN(F$52)-COLUMN($B$52),1,1)</f>
        <v>7063.0000000000018</v>
      </c>
      <c r="G56" s="25">
        <f ca="1">OFFSET(Actual!$B$43,0,COLUMN(G$52)-COLUMN($B$52),1,1)</f>
        <v>-918.96000000000095</v>
      </c>
      <c r="H56" s="25">
        <f ca="1">OFFSET(Actual!$B$43,0,COLUMN(H$52)-COLUMN($B$52),1,1)</f>
        <v>-1414.5600000000013</v>
      </c>
      <c r="I56" s="25">
        <f ca="1">OFFSET(Actual!$B$43,0,COLUMN(I$52)-COLUMN($B$52),1,1)</f>
        <v>4593.1200000000008</v>
      </c>
      <c r="J56" s="25">
        <f ca="1">OFFSET(Actual!$B$43,0,COLUMN(J$52)-COLUMN($B$52),1,1)</f>
        <v>2581.6000000000022</v>
      </c>
      <c r="K56" s="25">
        <f ca="1">OFFSET(Actual!$B$43,0,COLUMN(K$52)-COLUMN($B$52),1,1)</f>
        <v>-715.68000000000029</v>
      </c>
      <c r="L56" s="25">
        <f ca="1">OFFSET(Actual!$B$43,0,COLUMN(L$52)-COLUMN($B$52),1,1)</f>
        <v>2570.3999999999978</v>
      </c>
      <c r="M56" s="25">
        <f ca="1">OFFSET(Actual!$B$43,0,COLUMN(M$52)-COLUMN($B$52),1,1)</f>
        <v>4209.5200000000004</v>
      </c>
      <c r="N56" s="25">
        <f ca="1">OFFSET(Actual!$B$43,0,COLUMN(N$52)-COLUMN($B$52),1,1)</f>
        <v>6619.2000000000007</v>
      </c>
      <c r="O56" s="25">
        <f ca="1">OFFSET(Actual!$B$43,0,COLUMN(O$52)-COLUMN($B$52),1,1)</f>
        <v>-6502.7200000000012</v>
      </c>
      <c r="P56" s="25">
        <f ca="1">OFFSET(Actual!$B$43,0,COLUMN(P$52)-COLUMN($B$52),1,1)</f>
        <v>4415.6000000000022</v>
      </c>
      <c r="Q56" s="25">
        <f ca="1">OFFSET(Actual!$B$43,0,COLUMN(Q$52)-COLUMN($B$52),1,1)</f>
        <v>3952.2000000000007</v>
      </c>
      <c r="R56" s="25">
        <f ca="1">OFFSET(Actual!$B$43,0,COLUMN(R$52)-COLUMN($B$52),1,1)</f>
        <v>6734.6999999999971</v>
      </c>
      <c r="S56" s="25">
        <f ca="1">OFFSET(Actual!$B$43,0,COLUMN(S$52)-COLUMN($B$52),1,1)</f>
        <v>3222.2960000000094</v>
      </c>
      <c r="T56" s="25">
        <f ca="1">OFFSET(Actual!$B$43,0,COLUMN(T$52)-COLUMN($B$52),1,1)</f>
        <v>59.919999999998254</v>
      </c>
      <c r="U56" s="25">
        <f ca="1">OFFSET(Actual!$B$43,0,COLUMN(U$52)-COLUMN($B$52),1,1)</f>
        <v>-430.10800000000017</v>
      </c>
      <c r="V56" s="25">
        <f ca="1">OFFSET(Actual!$B$43,0,COLUMN(V$52)-COLUMN($B$52),1,1)</f>
        <v>7487.1999999999971</v>
      </c>
      <c r="W56" s="25">
        <f ca="1">OFFSET(Actual!$B$43,0,COLUMN(W$52)-COLUMN($B$52),1,1)</f>
        <v>3572.239999999998</v>
      </c>
      <c r="X56" s="25">
        <f ca="1">OFFSET(Actual!$B$43,0,COLUMN(X$52)-COLUMN($B$52),1,1)</f>
        <v>-508.8859999999986</v>
      </c>
      <c r="Y56" s="25">
        <f ca="1">OFFSET(Actual!$B$43,0,COLUMN(Y$52)-COLUMN($B$52),1,1)</f>
        <v>3623.9447999999975</v>
      </c>
      <c r="Z56" s="25">
        <f ca="1">OFFSET(Actual!$B$43,0,COLUMN(Z$52)-COLUMN($B$52),1,1)</f>
        <v>2124.6175999999978</v>
      </c>
      <c r="AA56" s="25">
        <f ca="1">OFFSET(Actual!$B$43,0,COLUMN(AA$52)-COLUMN($B$52),1,1)</f>
        <v>6372.7999999999956</v>
      </c>
      <c r="AB56" s="25">
        <f ca="1">OFFSET(Actual!$B$43,0,COLUMN(AB$52)-COLUMN($B$52),1,1)</f>
        <v>-2236.3600000000006</v>
      </c>
      <c r="AC56" s="25">
        <f ca="1">OFFSET(Actual!$B$43,0,COLUMN(AC$52)-COLUMN($B$52),1,1)</f>
        <v>4097.0720000000147</v>
      </c>
      <c r="AD56" s="25">
        <f ca="1">OFFSET(Actual!$B$43,0,COLUMN(AD$52)-COLUMN($B$52),1,1)</f>
        <v>5739.7200000000012</v>
      </c>
      <c r="AE56" s="25">
        <f ca="1">OFFSET(Actual!$B$43,0,COLUMN(AE$52)-COLUMN($B$52),1,1)</f>
        <v>8719.7599999999948</v>
      </c>
      <c r="AF56" s="25">
        <f ca="1">OFFSET(Actual!$B$43,0,COLUMN(AF$52)-COLUMN($B$52),1,1)</f>
        <v>8784.3840000000055</v>
      </c>
      <c r="AG56" s="25">
        <f ca="1">OFFSET(Actual!$B$43,0,COLUMN(AG$52)-COLUMN($B$52),1,1)</f>
        <v>2267.6079999999929</v>
      </c>
      <c r="AH56" s="25">
        <f ca="1">OFFSET(Actual!$B$43,0,COLUMN(AH$52)-COLUMN($B$52),1,1)</f>
        <v>1696.351999999999</v>
      </c>
      <c r="AI56" s="25">
        <f ca="1">OFFSET(Actual!$B$43,0,COLUMN(AI$52)-COLUMN($B$52),1,1)</f>
        <v>8691.8160000000062</v>
      </c>
      <c r="AJ56" s="25">
        <f ca="1">OFFSET(Actual!$B$43,0,COLUMN(AJ$52)-COLUMN($B$52),1,1)</f>
        <v>7173.8239999999932</v>
      </c>
      <c r="AK56" s="25">
        <f ca="1">OFFSET(Actual!$B$43,0,COLUMN(AK$52)-COLUMN($B$52),1,1)</f>
        <v>-1499.2039999999979</v>
      </c>
      <c r="AL56" s="25">
        <f ca="1">OFFSET(Actual!$B$43,0,COLUMN(AL$52)-COLUMN($B$52),1,1)</f>
        <v>5788.4400000000023</v>
      </c>
      <c r="AM56" s="25">
        <f ca="1">OFFSET(Actual!$B$43,0,COLUMN(AM$52)-COLUMN($B$52),1,1)</f>
        <v>7420.1680000000051</v>
      </c>
      <c r="AN56" s="25">
        <f ca="1">OFFSET(Actual!$B$43,0,COLUMN(AN$52)-COLUMN($B$52),1,1)</f>
        <v>8715.9407999999821</v>
      </c>
      <c r="AO56" s="25">
        <f ca="1">OFFSET(Actual!$B$43,0,COLUMN(AO$52)-COLUMN($B$52),1,1)</f>
        <v>-5625.7823999999819</v>
      </c>
      <c r="AP56" s="25">
        <f ca="1">OFFSET(Actual!$B$43,0,COLUMN(AP$52)-COLUMN($B$52),1,1)</f>
        <v>8511.6023999999888</v>
      </c>
      <c r="AQ56" s="25">
        <f ca="1">OFFSET(Actual!$B$43,0,COLUMN(AQ$52)-COLUMN($B$52),1,1)</f>
        <v>1725.640000000014</v>
      </c>
      <c r="AR56" s="25">
        <f ca="1">OFFSET(Actual!$B$43,0,COLUMN(AR$52)-COLUMN($B$52),1,1)</f>
        <v>893.33999999999651</v>
      </c>
      <c r="AS56" s="25">
        <f ca="1">OFFSET(Actual!$B$43,0,COLUMN(AS$52)-COLUMN($B$52),1,1)</f>
        <v>4600.820000000007</v>
      </c>
      <c r="AT56" s="25">
        <f ca="1">OFFSET(Actual!$B$43,0,COLUMN(AT$52)-COLUMN($B$52),1,1)</f>
        <v>-3046.4000000000233</v>
      </c>
      <c r="AU56" s="25">
        <f ca="1">OFFSET(Actual!$B$43,0,COLUMN(AU$52)-COLUMN($B$52),1,1)</f>
        <v>162.54000000000815</v>
      </c>
      <c r="AV56" s="25">
        <f ca="1">OFFSET(Actual!$B$43,0,COLUMN(AV$52)-COLUMN($B$52),1,1)</f>
        <v>5946.2200000000012</v>
      </c>
      <c r="AW56" s="25">
        <f ca="1">OFFSET(Actual!$B$43,0,COLUMN(AW$52)-COLUMN($B$52),1,1)</f>
        <v>10175.452000000019</v>
      </c>
      <c r="AX56" s="25">
        <f ca="1">OFFSET(Actual!$B$43,0,COLUMN(AX$52)-COLUMN($B$52),1,1)</f>
        <v>-1564.6680000000051</v>
      </c>
      <c r="AY56" s="25">
        <f ca="1">OFFSET(Actual!$B$43,0,COLUMN(AY$52)-COLUMN($B$52),1,1)</f>
        <v>6977.8800000000047</v>
      </c>
      <c r="AZ56" s="25">
        <f ca="1">OFFSET(Actual!$B$43,0,COLUMN(AZ$52)-COLUMN($B$52),1,1)</f>
        <v>7267.2600000000093</v>
      </c>
      <c r="BA56" s="25">
        <f ca="1">OFFSET(Actual!$B$43,0,COLUMN(BA$52)-COLUMN($B$52),1,1)</f>
        <v>8127.1399999999849</v>
      </c>
      <c r="BB56" s="25">
        <f ca="1">OFFSET(Actual!$B$43,0,COLUMN(BB$52)-COLUMN($B$52),1,1)</f>
        <v>-2164.6240000000107</v>
      </c>
      <c r="BC56" s="25">
        <f ca="1">SUM(OFFSET($B56,0,1,1,Assumptions!$B$7))</f>
        <v>27887.72</v>
      </c>
      <c r="BD56" s="25">
        <f ca="1">SUM(OFFSET($B56,0,1+Assumptions!$B$7,1,SUM(Assumptions!$B$8)))</f>
        <v>38390.164399999994</v>
      </c>
      <c r="BE56" s="25">
        <f ca="1">SUM(OFFSET($B56,0,1+SUM(Assumptions!$B$7:$B$8),1,SUM(Assumptions!$B$9)))</f>
        <v>61970.098400000017</v>
      </c>
      <c r="BF56" s="25">
        <f ca="1">SUM(OFFSET($B56,0,1+SUM(Assumptions!$B$7:$B$9),1,SUM(Assumptions!$B$10)))</f>
        <v>47612.202399999995</v>
      </c>
      <c r="BG56" s="25">
        <f ca="1">SUM(BC56:BF56)</f>
        <v>175860.18520000001</v>
      </c>
    </row>
    <row r="57" spans="2:59" ht="15" customHeight="1" x14ac:dyDescent="0.35">
      <c r="B57" s="36" t="s">
        <v>68</v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</row>
    <row r="58" spans="2:59" ht="15" customHeight="1" x14ac:dyDescent="0.3">
      <c r="B58" s="5" t="s">
        <v>66</v>
      </c>
      <c r="C58" s="51">
        <f ca="1">OFFSET(Actual!$B$38,0,COLUMN(C$52)-COLUMN($B$52),1,1)</f>
        <v>0</v>
      </c>
      <c r="D58" s="51">
        <f ca="1">OFFSET(Actual!$B$38,0,COLUMN(D$52)-COLUMN($B$52),1,1)</f>
        <v>0</v>
      </c>
      <c r="E58" s="51">
        <f ca="1">OFFSET(Actual!$B$38,0,COLUMN(E$52)-COLUMN($B$52),1,1)</f>
        <v>0</v>
      </c>
      <c r="F58" s="51">
        <f ca="1">OFFSET(Actual!$B$38,0,COLUMN(F$52)-COLUMN($B$52),1,1)</f>
        <v>0</v>
      </c>
      <c r="G58" s="51">
        <f ca="1">OFFSET(Actual!$B$38,0,COLUMN(G$52)-COLUMN($B$52),1,1)</f>
        <v>13333</v>
      </c>
      <c r="H58" s="51">
        <f ca="1">OFFSET(Actual!$B$38,0,COLUMN(H$52)-COLUMN($B$52),1,1)</f>
        <v>0</v>
      </c>
      <c r="I58" s="51">
        <f ca="1">OFFSET(Actual!$B$38,0,COLUMN(I$52)-COLUMN($B$52),1,1)</f>
        <v>0</v>
      </c>
      <c r="J58" s="51">
        <f ca="1">OFFSET(Actual!$B$38,0,COLUMN(J$52)-COLUMN($B$52),1,1)</f>
        <v>0</v>
      </c>
      <c r="K58" s="51">
        <f ca="1">OFFSET(Actual!$B$38,0,COLUMN(K$52)-COLUMN($B$52),1,1)</f>
        <v>13333</v>
      </c>
      <c r="L58" s="51">
        <f ca="1">OFFSET(Actual!$B$38,0,COLUMN(L$52)-COLUMN($B$52),1,1)</f>
        <v>0</v>
      </c>
      <c r="M58" s="51">
        <f ca="1">OFFSET(Actual!$B$38,0,COLUMN(M$52)-COLUMN($B$52),1,1)</f>
        <v>0</v>
      </c>
      <c r="N58" s="51">
        <f ca="1">OFFSET(Actual!$B$38,0,COLUMN(N$52)-COLUMN($B$52),1,1)</f>
        <v>0</v>
      </c>
      <c r="O58" s="51">
        <f ca="1">OFFSET(Actual!$B$38,0,COLUMN(O$52)-COLUMN($B$52),1,1)</f>
        <v>15000</v>
      </c>
      <c r="P58" s="51">
        <f ca="1">OFFSET(Actual!$B$38,0,COLUMN(P$52)-COLUMN($B$52),1,1)</f>
        <v>0</v>
      </c>
      <c r="Q58" s="51">
        <f ca="1">OFFSET(Actual!$B$38,0,COLUMN(Q$52)-COLUMN($B$52),1,1)</f>
        <v>0</v>
      </c>
      <c r="R58" s="51">
        <f ca="1">OFFSET(Actual!$B$38,0,COLUMN(R$52)-COLUMN($B$52),1,1)</f>
        <v>0</v>
      </c>
      <c r="S58" s="51">
        <f ca="1">OFFSET(Actual!$B$38,0,COLUMN(S$52)-COLUMN($B$52),1,1)</f>
        <v>0</v>
      </c>
      <c r="T58" s="51">
        <f ca="1">OFFSET(Actual!$B$38,0,COLUMN(T$52)-COLUMN($B$52),1,1)</f>
        <v>15000</v>
      </c>
      <c r="U58" s="51">
        <f ca="1">OFFSET(Actual!$B$38,0,COLUMN(U$52)-COLUMN($B$52),1,1)</f>
        <v>0</v>
      </c>
      <c r="V58" s="51">
        <f ca="1">OFFSET(Actual!$B$38,0,COLUMN(V$52)-COLUMN($B$52),1,1)</f>
        <v>0</v>
      </c>
      <c r="W58" s="51">
        <f ca="1">OFFSET(Actual!$B$38,0,COLUMN(W$52)-COLUMN($B$52),1,1)</f>
        <v>0</v>
      </c>
      <c r="X58" s="51">
        <f ca="1">OFFSET(Actual!$B$38,0,COLUMN(X$52)-COLUMN($B$52),1,1)</f>
        <v>15000</v>
      </c>
      <c r="Y58" s="51">
        <f ca="1">OFFSET(Actual!$B$38,0,COLUMN(Y$52)-COLUMN($B$52),1,1)</f>
        <v>0</v>
      </c>
      <c r="Z58" s="51">
        <f ca="1">OFFSET(Actual!$B$38,0,COLUMN(Z$52)-COLUMN($B$52),1,1)</f>
        <v>0</v>
      </c>
      <c r="AA58" s="51">
        <f ca="1">OFFSET(Actual!$B$38,0,COLUMN(AA$52)-COLUMN($B$52),1,1)</f>
        <v>0</v>
      </c>
      <c r="AB58" s="51">
        <f ca="1">OFFSET(Actual!$B$38,0,COLUMN(AB$52)-COLUMN($B$52),1,1)</f>
        <v>16000</v>
      </c>
      <c r="AC58" s="51">
        <f ca="1">OFFSET(Actual!$B$38,0,COLUMN(AC$52)-COLUMN($B$52),1,1)</f>
        <v>0</v>
      </c>
      <c r="AD58" s="51">
        <f ca="1">OFFSET(Actual!$B$38,0,COLUMN(AD$52)-COLUMN($B$52),1,1)</f>
        <v>0</v>
      </c>
      <c r="AE58" s="51">
        <f ca="1">OFFSET(Actual!$B$38,0,COLUMN(AE$52)-COLUMN($B$52),1,1)</f>
        <v>0</v>
      </c>
      <c r="AF58" s="51">
        <f ca="1">OFFSET(Actual!$B$38,0,COLUMN(AF$52)-COLUMN($B$52),1,1)</f>
        <v>0</v>
      </c>
      <c r="AG58" s="51">
        <f ca="1">OFFSET(Actual!$B$38,0,COLUMN(AG$52)-COLUMN($B$52),1,1)</f>
        <v>16800</v>
      </c>
      <c r="AH58" s="51">
        <f ca="1">OFFSET(Actual!$B$38,0,COLUMN(AH$52)-COLUMN($B$52),1,1)</f>
        <v>0</v>
      </c>
      <c r="AI58" s="51">
        <f ca="1">OFFSET(Actual!$B$38,0,COLUMN(AI$52)-COLUMN($B$52),1,1)</f>
        <v>0</v>
      </c>
      <c r="AJ58" s="51">
        <f ca="1">OFFSET(Actual!$B$38,0,COLUMN(AJ$52)-COLUMN($B$52),1,1)</f>
        <v>0</v>
      </c>
      <c r="AK58" s="51">
        <f ca="1">OFFSET(Actual!$B$38,0,COLUMN(AK$52)-COLUMN($B$52),1,1)</f>
        <v>16800</v>
      </c>
      <c r="AL58" s="51">
        <f ca="1">OFFSET(Actual!$B$38,0,COLUMN(AL$52)-COLUMN($B$52),1,1)</f>
        <v>0</v>
      </c>
      <c r="AM58" s="51">
        <f ca="1">OFFSET(Actual!$B$38,0,COLUMN(AM$52)-COLUMN($B$52),1,1)</f>
        <v>0</v>
      </c>
      <c r="AN58" s="51">
        <f ca="1">OFFSET(Actual!$B$38,0,COLUMN(AN$52)-COLUMN($B$52),1,1)</f>
        <v>0</v>
      </c>
      <c r="AO58" s="51">
        <f ca="1">OFFSET(Actual!$B$38,0,COLUMN(AO$52)-COLUMN($B$52),1,1)</f>
        <v>16800</v>
      </c>
      <c r="AP58" s="51">
        <f ca="1">OFFSET(Actual!$B$38,0,COLUMN(AP$52)-COLUMN($B$52),1,1)</f>
        <v>0</v>
      </c>
      <c r="AQ58" s="51">
        <f ca="1">OFFSET(Actual!$B$38,0,COLUMN(AQ$52)-COLUMN($B$52),1,1)</f>
        <v>0</v>
      </c>
      <c r="AR58" s="51">
        <f ca="1">OFFSET(Actual!$B$38,0,COLUMN(AR$52)-COLUMN($B$52),1,1)</f>
        <v>0</v>
      </c>
      <c r="AS58" s="51">
        <f ca="1">OFFSET(Actual!$B$38,0,COLUMN(AS$52)-COLUMN($B$52),1,1)</f>
        <v>0</v>
      </c>
      <c r="AT58" s="51">
        <f ca="1">OFFSET(Actual!$B$38,0,COLUMN(AT$52)-COLUMN($B$52),1,1)</f>
        <v>16800</v>
      </c>
      <c r="AU58" s="51">
        <f ca="1">OFFSET(Actual!$B$38,0,COLUMN(AU$52)-COLUMN($B$52),1,1)</f>
        <v>0</v>
      </c>
      <c r="AV58" s="51">
        <f ca="1">OFFSET(Actual!$B$38,0,COLUMN(AV$52)-COLUMN($B$52),1,1)</f>
        <v>0</v>
      </c>
      <c r="AW58" s="51">
        <f ca="1">OFFSET(Actual!$B$38,0,COLUMN(AW$52)-COLUMN($B$52),1,1)</f>
        <v>0</v>
      </c>
      <c r="AX58" s="51">
        <f ca="1">OFFSET(Actual!$B$38,0,COLUMN(AX$52)-COLUMN($B$52),1,1)</f>
        <v>17200</v>
      </c>
      <c r="AY58" s="51">
        <f ca="1">OFFSET(Actual!$B$38,0,COLUMN(AY$52)-COLUMN($B$52),1,1)</f>
        <v>0</v>
      </c>
      <c r="AZ58" s="51">
        <f ca="1">OFFSET(Actual!$B$38,0,COLUMN(AZ$52)-COLUMN($B$52),1,1)</f>
        <v>0</v>
      </c>
      <c r="BA58" s="51">
        <f ca="1">OFFSET(Actual!$B$38,0,COLUMN(BA$52)-COLUMN($B$52),1,1)</f>
        <v>0</v>
      </c>
      <c r="BB58" s="51">
        <f ca="1">OFFSET(Actual!$B$38,0,COLUMN(BB$52)-COLUMN($B$52),1,1)</f>
        <v>17200</v>
      </c>
      <c r="BC58" s="25">
        <f ca="1">SUM(OFFSET($B58,0,1,1,Assumptions!$B$7))</f>
        <v>41666</v>
      </c>
      <c r="BD58" s="25">
        <f ca="1">SUM(OFFSET($B58,0,1+Assumptions!$B$7,1,SUM(Assumptions!$B$8)))</f>
        <v>46000</v>
      </c>
      <c r="BE58" s="25">
        <f ca="1">SUM(OFFSET($B58,0,1+SUM(Assumptions!$B$7:$B$8),1,SUM(Assumptions!$B$9)))</f>
        <v>50400</v>
      </c>
      <c r="BF58" s="25">
        <f ca="1">SUM(OFFSET($B58,0,1+SUM(Assumptions!$B$7:$B$9),1,SUM(Assumptions!$B$10)))</f>
        <v>51200</v>
      </c>
      <c r="BG58" s="25">
        <f ca="1">SUM(BC58:BF58)</f>
        <v>189266</v>
      </c>
    </row>
    <row r="59" spans="2:59" ht="15" customHeight="1" x14ac:dyDescent="0.35">
      <c r="B59" s="6" t="s">
        <v>69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</row>
    <row r="60" spans="2:59" ht="15" customHeight="1" x14ac:dyDescent="0.3">
      <c r="B60" s="24" t="s">
        <v>28</v>
      </c>
      <c r="C60" s="25">
        <f ca="1">OFFSET(BS!$B$30,0,COLUMN(C$52)-COLUMN($B$52),1,1)-OFFSET(BS!$B$30,0,COLUMN(C$52)-COLUMN($B$52)+1,1,1)</f>
        <v>-30000</v>
      </c>
      <c r="D60" s="25">
        <f ca="1">OFFSET(BS!$B$30,0,COLUMN(D$52)-COLUMN($B$52),1,1)-OFFSET(BS!$B$30,0,COLUMN(D$52)-COLUMN($B$52)+1,1,1)</f>
        <v>2000</v>
      </c>
      <c r="E60" s="25">
        <f ca="1">OFFSET(BS!$B$30,0,COLUMN(E$52)-COLUMN($B$52),1,1)-OFFSET(BS!$B$30,0,COLUMN(E$52)-COLUMN($B$52)+1,1,1)</f>
        <v>-2000</v>
      </c>
      <c r="F60" s="25">
        <f ca="1">OFFSET(BS!$B$30,0,COLUMN(F$52)-COLUMN($B$52),1,1)-OFFSET(BS!$B$30,0,COLUMN(F$52)-COLUMN($B$52)+1,1,1)</f>
        <v>-2000</v>
      </c>
      <c r="G60" s="25">
        <f ca="1">OFFSET(BS!$B$30,0,COLUMN(G$52)-COLUMN($B$52),1,1)-OFFSET(BS!$B$30,0,COLUMN(G$52)-COLUMN($B$52)+1,1,1)</f>
        <v>-3000</v>
      </c>
      <c r="H60" s="25">
        <f ca="1">OFFSET(BS!$B$30,0,COLUMN(H$52)-COLUMN($B$52),1,1)-OFFSET(BS!$B$30,0,COLUMN(H$52)-COLUMN($B$52)+1,1,1)</f>
        <v>-6000</v>
      </c>
      <c r="I60" s="25">
        <f ca="1">OFFSET(BS!$B$30,0,COLUMN(I$52)-COLUMN($B$52),1,1)-OFFSET(BS!$B$30,0,COLUMN(I$52)-COLUMN($B$52)+1,1,1)</f>
        <v>6000</v>
      </c>
      <c r="J60" s="25">
        <f ca="1">OFFSET(BS!$B$30,0,COLUMN(J$52)-COLUMN($B$52),1,1)-OFFSET(BS!$B$30,0,COLUMN(J$52)-COLUMN($B$52)+1,1,1)</f>
        <v>2000</v>
      </c>
      <c r="K60" s="25">
        <f ca="1">OFFSET(BS!$B$30,0,COLUMN(K$52)-COLUMN($B$52),1,1)-OFFSET(BS!$B$30,0,COLUMN(K$52)-COLUMN($B$52)+1,1,1)</f>
        <v>-1500</v>
      </c>
      <c r="L60" s="25">
        <f ca="1">OFFSET(BS!$B$30,0,COLUMN(L$52)-COLUMN($B$52),1,1)-OFFSET(BS!$B$30,0,COLUMN(L$52)-COLUMN($B$52)+1,1,1)</f>
        <v>-6500</v>
      </c>
      <c r="M60" s="25">
        <f ca="1">OFFSET(BS!$B$30,0,COLUMN(M$52)-COLUMN($B$52),1,1)-OFFSET(BS!$B$30,0,COLUMN(M$52)-COLUMN($B$52)+1,1,1)</f>
        <v>-5000</v>
      </c>
      <c r="N60" s="25">
        <f ca="1">OFFSET(BS!$B$30,0,COLUMN(N$52)-COLUMN($B$52),1,1)-OFFSET(BS!$B$30,0,COLUMN(N$52)-COLUMN($B$52)+1,1,1)</f>
        <v>-500</v>
      </c>
      <c r="O60" s="25">
        <f ca="1">OFFSET(BS!$B$30,0,COLUMN(O$52)-COLUMN($B$52),1,1)-OFFSET(BS!$B$30,0,COLUMN(O$52)-COLUMN($B$52)+1,1,1)</f>
        <v>5800</v>
      </c>
      <c r="P60" s="25">
        <f ca="1">OFFSET(BS!$B$30,0,COLUMN(P$52)-COLUMN($B$52),1,1)-OFFSET(BS!$B$30,0,COLUMN(P$52)-COLUMN($B$52)+1,1,1)</f>
        <v>-3200</v>
      </c>
      <c r="Q60" s="25">
        <f ca="1">OFFSET(BS!$B$30,0,COLUMN(Q$52)-COLUMN($B$52),1,1)-OFFSET(BS!$B$30,0,COLUMN(Q$52)-COLUMN($B$52)+1,1,1)</f>
        <v>-1100</v>
      </c>
      <c r="R60" s="25">
        <f ca="1">OFFSET(BS!$B$30,0,COLUMN(R$52)-COLUMN($B$52),1,1)-OFFSET(BS!$B$30,0,COLUMN(R$52)-COLUMN($B$52)+1,1,1)</f>
        <v>-3300</v>
      </c>
      <c r="S60" s="25">
        <f ca="1">OFFSET(BS!$B$30,0,COLUMN(S$52)-COLUMN($B$52),1,1)-OFFSET(BS!$B$30,0,COLUMN(S$52)-COLUMN($B$52)+1,1,1)</f>
        <v>-1200</v>
      </c>
      <c r="T60" s="25">
        <f ca="1">OFFSET(BS!$B$30,0,COLUMN(T$52)-COLUMN($B$52),1,1)-OFFSET(BS!$B$30,0,COLUMN(T$52)-COLUMN($B$52)+1,1,1)</f>
        <v>3900</v>
      </c>
      <c r="U60" s="25">
        <f ca="1">OFFSET(BS!$B$30,0,COLUMN(U$52)-COLUMN($B$52),1,1)-OFFSET(BS!$B$30,0,COLUMN(U$52)-COLUMN($B$52)+1,1,1)</f>
        <v>100</v>
      </c>
      <c r="V60" s="25">
        <f ca="1">OFFSET(BS!$B$30,0,COLUMN(V$52)-COLUMN($B$52),1,1)-OFFSET(BS!$B$30,0,COLUMN(V$52)-COLUMN($B$52)+1,1,1)</f>
        <v>-4500</v>
      </c>
      <c r="W60" s="25">
        <f ca="1">OFFSET(BS!$B$30,0,COLUMN(W$52)-COLUMN($B$52),1,1)-OFFSET(BS!$B$30,0,COLUMN(W$52)-COLUMN($B$52)+1,1,1)</f>
        <v>-2200</v>
      </c>
      <c r="X60" s="25">
        <f ca="1">OFFSET(BS!$B$30,0,COLUMN(X$52)-COLUMN($B$52),1,1)-OFFSET(BS!$B$30,0,COLUMN(X$52)-COLUMN($B$52)+1,1,1)</f>
        <v>-2800</v>
      </c>
      <c r="Y60" s="25">
        <f ca="1">OFFSET(BS!$B$30,0,COLUMN(Y$52)-COLUMN($B$52),1,1)-OFFSET(BS!$B$30,0,COLUMN(Y$52)-COLUMN($B$52)+1,1,1)</f>
        <v>2400</v>
      </c>
      <c r="Z60" s="25">
        <f ca="1">OFFSET(BS!$B$30,0,COLUMN(Z$52)-COLUMN($B$52),1,1)-OFFSET(BS!$B$30,0,COLUMN(Z$52)-COLUMN($B$52)+1,1,1)</f>
        <v>-2600</v>
      </c>
      <c r="AA60" s="25">
        <f ca="1">OFFSET(BS!$B$30,0,COLUMN(AA$52)-COLUMN($B$52),1,1)-OFFSET(BS!$B$30,0,COLUMN(AA$52)-COLUMN($B$52)+1,1,1)</f>
        <v>-420</v>
      </c>
      <c r="AB60" s="25">
        <f ca="1">OFFSET(BS!$B$30,0,COLUMN(AB$52)-COLUMN($B$52),1,1)-OFFSET(BS!$B$30,0,COLUMN(AB$52)-COLUMN($B$52)+1,1,1)</f>
        <v>-2780</v>
      </c>
      <c r="AC60" s="25">
        <f ca="1">OFFSET(BS!$B$30,0,COLUMN(AC$52)-COLUMN($B$52),1,1)-OFFSET(BS!$B$30,0,COLUMN(AC$52)-COLUMN($B$52)+1,1,1)</f>
        <v>3100</v>
      </c>
      <c r="AD60" s="25">
        <f ca="1">OFFSET(BS!$B$30,0,COLUMN(AD$52)-COLUMN($B$52),1,1)-OFFSET(BS!$B$30,0,COLUMN(AD$52)-COLUMN($B$52)+1,1,1)</f>
        <v>-200</v>
      </c>
      <c r="AE60" s="25">
        <f ca="1">OFFSET(BS!$B$30,0,COLUMN(AE$52)-COLUMN($B$52),1,1)-OFFSET(BS!$B$30,0,COLUMN(AE$52)-COLUMN($B$52)+1,1,1)</f>
        <v>-4500</v>
      </c>
      <c r="AF60" s="25">
        <f ca="1">OFFSET(BS!$B$30,0,COLUMN(AF$52)-COLUMN($B$52),1,1)-OFFSET(BS!$B$30,0,COLUMN(AF$52)-COLUMN($B$52)+1,1,1)</f>
        <v>-6670</v>
      </c>
      <c r="AG60" s="25">
        <f ca="1">OFFSET(BS!$B$30,0,COLUMN(AG$52)-COLUMN($B$52),1,1)-OFFSET(BS!$B$30,0,COLUMN(AG$52)-COLUMN($B$52)+1,1,1)</f>
        <v>-10330</v>
      </c>
      <c r="AH60" s="25">
        <f ca="1">OFFSET(BS!$B$30,0,COLUMN(AH$52)-COLUMN($B$52),1,1)-OFFSET(BS!$B$30,0,COLUMN(AH$52)-COLUMN($B$52)+1,1,1)</f>
        <v>-8000</v>
      </c>
      <c r="AI60" s="25">
        <f ca="1">OFFSET(BS!$B$30,0,COLUMN(AI$52)-COLUMN($B$52),1,1)-OFFSET(BS!$B$30,0,COLUMN(AI$52)-COLUMN($B$52)+1,1,1)</f>
        <v>800</v>
      </c>
      <c r="AJ60" s="25">
        <f ca="1">OFFSET(BS!$B$30,0,COLUMN(AJ$52)-COLUMN($B$52),1,1)-OFFSET(BS!$B$30,0,COLUMN(AJ$52)-COLUMN($B$52)+1,1,1)</f>
        <v>2300</v>
      </c>
      <c r="AK60" s="25">
        <f ca="1">OFFSET(BS!$B$30,0,COLUMN(AK$52)-COLUMN($B$52),1,1)-OFFSET(BS!$B$30,0,COLUMN(AK$52)-COLUMN($B$52)+1,1,1)</f>
        <v>2900</v>
      </c>
      <c r="AL60" s="25">
        <f ca="1">OFFSET(BS!$B$30,0,COLUMN(AL$52)-COLUMN($B$52),1,1)-OFFSET(BS!$B$30,0,COLUMN(AL$52)-COLUMN($B$52)+1,1,1)</f>
        <v>1000</v>
      </c>
      <c r="AM60" s="25">
        <f ca="1">OFFSET(BS!$B$30,0,COLUMN(AM$52)-COLUMN($B$52),1,1)-OFFSET(BS!$B$30,0,COLUMN(AM$52)-COLUMN($B$52)+1,1,1)</f>
        <v>-3400</v>
      </c>
      <c r="AN60" s="25">
        <f ca="1">OFFSET(BS!$B$30,0,COLUMN(AN$52)-COLUMN($B$52),1,1)-OFFSET(BS!$B$30,0,COLUMN(AN$52)-COLUMN($B$52)+1,1,1)</f>
        <v>700</v>
      </c>
      <c r="AO60" s="25">
        <f ca="1">OFFSET(BS!$B$30,0,COLUMN(AO$52)-COLUMN($B$52),1,1)-OFFSET(BS!$B$30,0,COLUMN(AO$52)-COLUMN($B$52)+1,1,1)</f>
        <v>8080</v>
      </c>
      <c r="AP60" s="25">
        <f ca="1">OFFSET(BS!$B$30,0,COLUMN(AP$52)-COLUMN($B$52),1,1)-OFFSET(BS!$B$30,0,COLUMN(AP$52)-COLUMN($B$52)+1,1,1)</f>
        <v>6800</v>
      </c>
      <c r="AQ60" s="25">
        <f ca="1">OFFSET(BS!$B$30,0,COLUMN(AQ$52)-COLUMN($B$52),1,1)-OFFSET(BS!$B$30,0,COLUMN(AQ$52)-COLUMN($B$52)+1,1,1)</f>
        <v>12620</v>
      </c>
      <c r="AR60" s="25">
        <f ca="1">OFFSET(BS!$B$30,0,COLUMN(AR$52)-COLUMN($B$52),1,1)-OFFSET(BS!$B$30,0,COLUMN(AR$52)-COLUMN($B$52)+1,1,1)</f>
        <v>14500</v>
      </c>
      <c r="AS60" s="25">
        <f ca="1">OFFSET(BS!$B$30,0,COLUMN(AS$52)-COLUMN($B$52),1,1)-OFFSET(BS!$B$30,0,COLUMN(AS$52)-COLUMN($B$52)+1,1,1)</f>
        <v>15200</v>
      </c>
      <c r="AT60" s="25">
        <f ca="1">OFFSET(BS!$B$30,0,COLUMN(AT$52)-COLUMN($B$52),1,1)-OFFSET(BS!$B$30,0,COLUMN(AT$52)-COLUMN($B$52)+1,1,1)</f>
        <v>19500</v>
      </c>
      <c r="AU60" s="25">
        <f ca="1">OFFSET(BS!$B$30,0,COLUMN(AU$52)-COLUMN($B$52),1,1)-OFFSET(BS!$B$30,0,COLUMN(AU$52)-COLUMN($B$52)+1,1,1)</f>
        <v>17000</v>
      </c>
      <c r="AV60" s="25">
        <f ca="1">OFFSET(BS!$B$30,0,COLUMN(AV$52)-COLUMN($B$52),1,1)-OFFSET(BS!$B$30,0,COLUMN(AV$52)-COLUMN($B$52)+1,1,1)</f>
        <v>-12000</v>
      </c>
      <c r="AW60" s="25">
        <f ca="1">OFFSET(BS!$B$30,0,COLUMN(AW$52)-COLUMN($B$52),1,1)-OFFSET(BS!$B$30,0,COLUMN(AW$52)-COLUMN($B$52)+1,1,1)</f>
        <v>-26000</v>
      </c>
      <c r="AX60" s="25">
        <f ca="1">OFFSET(BS!$B$30,0,COLUMN(AX$52)-COLUMN($B$52),1,1)-OFFSET(BS!$B$30,0,COLUMN(AX$52)-COLUMN($B$52)+1,1,1)</f>
        <v>-31000</v>
      </c>
      <c r="AY60" s="25">
        <f ca="1">OFFSET(BS!$B$30,0,COLUMN(AY$52)-COLUMN($B$52),1,1)-OFFSET(BS!$B$30,0,COLUMN(AY$52)-COLUMN($B$52)+1,1,1)</f>
        <v>-26000</v>
      </c>
      <c r="AZ60" s="25">
        <f ca="1">OFFSET(BS!$B$30,0,COLUMN(AZ$52)-COLUMN($B$52),1,1)-OFFSET(BS!$B$30,0,COLUMN(AZ$52)-COLUMN($B$52)+1,1,1)</f>
        <v>-8000</v>
      </c>
      <c r="BA60" s="25">
        <f ca="1">OFFSET(BS!$B$30,0,COLUMN(BA$52)-COLUMN($B$52),1,1)-OFFSET(BS!$B$30,0,COLUMN(BA$52)-COLUMN($B$52)+1,1,1)</f>
        <v>4400</v>
      </c>
      <c r="BB60" s="25">
        <f ca="1">OFFSET(BS!$B$30,0,COLUMN(BB$52)-COLUMN($B$52),1,1)-OFFSET(BS!$B$30,0,COLUMN(BB$52)-COLUMN($B$52)+1,1,1)</f>
        <v>1900</v>
      </c>
      <c r="BC60" s="25">
        <f ca="1">SUM(OFFSET($B60,0,1,1,Assumptions!$B$7))</f>
        <v>-40700</v>
      </c>
      <c r="BD60" s="25">
        <f ca="1">SUM(OFFSET($B60,0,1+Assumptions!$B$7,1,SUM(Assumptions!$B$8)))</f>
        <v>-17700</v>
      </c>
      <c r="BE60" s="25">
        <f ca="1">SUM(OFFSET($B60,0,1+SUM(Assumptions!$B$7:$B$8),1,SUM(Assumptions!$B$9)))</f>
        <v>-14220</v>
      </c>
      <c r="BF60" s="25">
        <f ca="1">SUM(OFFSET($B60,0,1+SUM(Assumptions!$B$7:$B$9),1,SUM(Assumptions!$B$10)))</f>
        <v>-11080</v>
      </c>
      <c r="BG60" s="25">
        <f ca="1">SUM(BC60:BF60)</f>
        <v>-83700</v>
      </c>
    </row>
    <row r="61" spans="2:59" ht="15" customHeight="1" x14ac:dyDescent="0.3">
      <c r="B61" s="24" t="s">
        <v>84</v>
      </c>
      <c r="C61" s="25">
        <f ca="1">OFFSET(BS!$B$31,0,COLUMN(C$52)-COLUMN($B$52),1,1)-OFFSET(BS!$B$31,0,COLUMN(C$52)-COLUMN($B$52)+1,1,1)</f>
        <v>-60700</v>
      </c>
      <c r="D61" s="25">
        <f ca="1">OFFSET(BS!$B$31,0,COLUMN(D$52)-COLUMN($B$52),1,1)-OFFSET(BS!$B$31,0,COLUMN(D$52)-COLUMN($B$52)+1,1,1)</f>
        <v>-3600</v>
      </c>
      <c r="E61" s="25">
        <f ca="1">OFFSET(BS!$B$31,0,COLUMN(E$52)-COLUMN($B$52),1,1)-OFFSET(BS!$B$31,0,COLUMN(E$52)-COLUMN($B$52)+1,1,1)</f>
        <v>-12500</v>
      </c>
      <c r="F61" s="25">
        <f ca="1">OFFSET(BS!$B$31,0,COLUMN(F$52)-COLUMN($B$52),1,1)-OFFSET(BS!$B$31,0,COLUMN(F$52)-COLUMN($B$52)+1,1,1)</f>
        <v>-1100</v>
      </c>
      <c r="G61" s="25">
        <f ca="1">OFFSET(BS!$B$31,0,COLUMN(G$52)-COLUMN($B$52),1,1)-OFFSET(BS!$B$31,0,COLUMN(G$52)-COLUMN($B$52)+1,1,1)</f>
        <v>0</v>
      </c>
      <c r="H61" s="25">
        <f ca="1">OFFSET(BS!$B$31,0,COLUMN(H$52)-COLUMN($B$52),1,1)-OFFSET(BS!$B$31,0,COLUMN(H$52)-COLUMN($B$52)+1,1,1)</f>
        <v>-9200</v>
      </c>
      <c r="I61" s="25">
        <f ca="1">OFFSET(BS!$B$31,0,COLUMN(I$52)-COLUMN($B$52),1,1)-OFFSET(BS!$B$31,0,COLUMN(I$52)-COLUMN($B$52)+1,1,1)</f>
        <v>2900</v>
      </c>
      <c r="J61" s="25">
        <f ca="1">OFFSET(BS!$B$31,0,COLUMN(J$52)-COLUMN($B$52),1,1)-OFFSET(BS!$B$31,0,COLUMN(J$52)-COLUMN($B$52)+1,1,1)</f>
        <v>2200</v>
      </c>
      <c r="K61" s="25">
        <f ca="1">OFFSET(BS!$B$31,0,COLUMN(K$52)-COLUMN($B$52),1,1)-OFFSET(BS!$B$31,0,COLUMN(K$52)-COLUMN($B$52)+1,1,1)</f>
        <v>-600</v>
      </c>
      <c r="L61" s="25">
        <f ca="1">OFFSET(BS!$B$31,0,COLUMN(L$52)-COLUMN($B$52),1,1)-OFFSET(BS!$B$31,0,COLUMN(L$52)-COLUMN($B$52)+1,1,1)</f>
        <v>-6100</v>
      </c>
      <c r="M61" s="25">
        <f ca="1">OFFSET(BS!$B$31,0,COLUMN(M$52)-COLUMN($B$52),1,1)-OFFSET(BS!$B$31,0,COLUMN(M$52)-COLUMN($B$52)+1,1,1)</f>
        <v>-11100</v>
      </c>
      <c r="N61" s="25">
        <f ca="1">OFFSET(BS!$B$31,0,COLUMN(N$52)-COLUMN($B$52),1,1)-OFFSET(BS!$B$31,0,COLUMN(N$52)-COLUMN($B$52)+1,1,1)</f>
        <v>-3100</v>
      </c>
      <c r="O61" s="25">
        <f ca="1">OFFSET(BS!$B$31,0,COLUMN(O$52)-COLUMN($B$52),1,1)-OFFSET(BS!$B$31,0,COLUMN(O$52)-COLUMN($B$52)+1,1,1)</f>
        <v>6500</v>
      </c>
      <c r="P61" s="25">
        <f ca="1">OFFSET(BS!$B$31,0,COLUMN(P$52)-COLUMN($B$52),1,1)-OFFSET(BS!$B$31,0,COLUMN(P$52)-COLUMN($B$52)+1,1,1)</f>
        <v>-5900</v>
      </c>
      <c r="Q61" s="25">
        <f ca="1">OFFSET(BS!$B$31,0,COLUMN(Q$52)-COLUMN($B$52),1,1)-OFFSET(BS!$B$31,0,COLUMN(Q$52)-COLUMN($B$52)+1,1,1)</f>
        <v>-1400</v>
      </c>
      <c r="R61" s="25">
        <f ca="1">OFFSET(BS!$B$31,0,COLUMN(R$52)-COLUMN($B$52),1,1)-OFFSET(BS!$B$31,0,COLUMN(R$52)-COLUMN($B$52)+1,1,1)</f>
        <v>-1700</v>
      </c>
      <c r="S61" s="25">
        <f ca="1">OFFSET(BS!$B$31,0,COLUMN(S$52)-COLUMN($B$52),1,1)-OFFSET(BS!$B$31,0,COLUMN(S$52)-COLUMN($B$52)+1,1,1)</f>
        <v>-6900</v>
      </c>
      <c r="T61" s="25">
        <f ca="1">OFFSET(BS!$B$31,0,COLUMN(T$52)-COLUMN($B$52),1,1)-OFFSET(BS!$B$31,0,COLUMN(T$52)-COLUMN($B$52)+1,1,1)</f>
        <v>4700</v>
      </c>
      <c r="U61" s="25">
        <f ca="1">OFFSET(BS!$B$31,0,COLUMN(U$52)-COLUMN($B$52),1,1)-OFFSET(BS!$B$31,0,COLUMN(U$52)-COLUMN($B$52)+1,1,1)</f>
        <v>2100</v>
      </c>
      <c r="V61" s="25">
        <f ca="1">OFFSET(BS!$B$31,0,COLUMN(V$52)-COLUMN($B$52),1,1)-OFFSET(BS!$B$31,0,COLUMN(V$52)-COLUMN($B$52)+1,1,1)</f>
        <v>-6800</v>
      </c>
      <c r="W61" s="25">
        <f ca="1">OFFSET(BS!$B$31,0,COLUMN(W$52)-COLUMN($B$52),1,1)-OFFSET(BS!$B$31,0,COLUMN(W$52)-COLUMN($B$52)+1,1,1)</f>
        <v>-2800</v>
      </c>
      <c r="X61" s="25">
        <f ca="1">OFFSET(BS!$B$31,0,COLUMN(X$52)-COLUMN($B$52),1,1)-OFFSET(BS!$B$31,0,COLUMN(X$52)-COLUMN($B$52)+1,1,1)</f>
        <v>-5700</v>
      </c>
      <c r="Y61" s="25">
        <f ca="1">OFFSET(BS!$B$31,0,COLUMN(Y$52)-COLUMN($B$52),1,1)-OFFSET(BS!$B$31,0,COLUMN(Y$52)-COLUMN($B$52)+1,1,1)</f>
        <v>900</v>
      </c>
      <c r="Z61" s="25">
        <f ca="1">OFFSET(BS!$B$31,0,COLUMN(Z$52)-COLUMN($B$52),1,1)-OFFSET(BS!$B$31,0,COLUMN(Z$52)-COLUMN($B$52)+1,1,1)</f>
        <v>-7300</v>
      </c>
      <c r="AA61" s="25">
        <f ca="1">OFFSET(BS!$B$31,0,COLUMN(AA$52)-COLUMN($B$52),1,1)-OFFSET(BS!$B$31,0,COLUMN(AA$52)-COLUMN($B$52)+1,1,1)</f>
        <v>-2800</v>
      </c>
      <c r="AB61" s="25">
        <f ca="1">OFFSET(BS!$B$31,0,COLUMN(AB$52)-COLUMN($B$52),1,1)-OFFSET(BS!$B$31,0,COLUMN(AB$52)-COLUMN($B$52)+1,1,1)</f>
        <v>-6100</v>
      </c>
      <c r="AC61" s="25">
        <f ca="1">OFFSET(BS!$B$31,0,COLUMN(AC$52)-COLUMN($B$52),1,1)-OFFSET(BS!$B$31,0,COLUMN(AC$52)-COLUMN($B$52)+1,1,1)</f>
        <v>-700</v>
      </c>
      <c r="AD61" s="25">
        <f ca="1">OFFSET(BS!$B$31,0,COLUMN(AD$52)-COLUMN($B$52),1,1)-OFFSET(BS!$B$31,0,COLUMN(AD$52)-COLUMN($B$52)+1,1,1)</f>
        <v>-1600</v>
      </c>
      <c r="AE61" s="25">
        <f ca="1">OFFSET(BS!$B$31,0,COLUMN(AE$52)-COLUMN($B$52),1,1)-OFFSET(BS!$B$31,0,COLUMN(AE$52)-COLUMN($B$52)+1,1,1)</f>
        <v>-6400</v>
      </c>
      <c r="AF61" s="25">
        <f ca="1">OFFSET(BS!$B$31,0,COLUMN(AF$52)-COLUMN($B$52),1,1)-OFFSET(BS!$B$31,0,COLUMN(AF$52)-COLUMN($B$52)+1,1,1)</f>
        <v>-9100</v>
      </c>
      <c r="AG61" s="25">
        <f ca="1">OFFSET(BS!$B$31,0,COLUMN(AG$52)-COLUMN($B$52),1,1)-OFFSET(BS!$B$31,0,COLUMN(AG$52)-COLUMN($B$52)+1,1,1)</f>
        <v>-18400</v>
      </c>
      <c r="AH61" s="25">
        <f ca="1">OFFSET(BS!$B$31,0,COLUMN(AH$52)-COLUMN($B$52),1,1)-OFFSET(BS!$B$31,0,COLUMN(AH$52)-COLUMN($B$52)+1,1,1)</f>
        <v>-17600</v>
      </c>
      <c r="AI61" s="25">
        <f ca="1">OFFSET(BS!$B$31,0,COLUMN(AI$52)-COLUMN($B$52),1,1)-OFFSET(BS!$B$31,0,COLUMN(AI$52)-COLUMN($B$52)+1,1,1)</f>
        <v>-2200</v>
      </c>
      <c r="AJ61" s="25">
        <f ca="1">OFFSET(BS!$B$31,0,COLUMN(AJ$52)-COLUMN($B$52),1,1)-OFFSET(BS!$B$31,0,COLUMN(AJ$52)-COLUMN($B$52)+1,1,1)</f>
        <v>700</v>
      </c>
      <c r="AK61" s="25">
        <f ca="1">OFFSET(BS!$B$31,0,COLUMN(AK$52)-COLUMN($B$52),1,1)-OFFSET(BS!$B$31,0,COLUMN(AK$52)-COLUMN($B$52)+1,1,1)</f>
        <v>1500</v>
      </c>
      <c r="AL61" s="25">
        <f ca="1">OFFSET(BS!$B$31,0,COLUMN(AL$52)-COLUMN($B$52),1,1)-OFFSET(BS!$B$31,0,COLUMN(AL$52)-COLUMN($B$52)+1,1,1)</f>
        <v>4200</v>
      </c>
      <c r="AM61" s="25">
        <f ca="1">OFFSET(BS!$B$31,0,COLUMN(AM$52)-COLUMN($B$52),1,1)-OFFSET(BS!$B$31,0,COLUMN(AM$52)-COLUMN($B$52)+1,1,1)</f>
        <v>-3000</v>
      </c>
      <c r="AN61" s="25">
        <f ca="1">OFFSET(BS!$B$31,0,COLUMN(AN$52)-COLUMN($B$52),1,1)-OFFSET(BS!$B$31,0,COLUMN(AN$52)-COLUMN($B$52)+1,1,1)</f>
        <v>-400</v>
      </c>
      <c r="AO61" s="25">
        <f ca="1">OFFSET(BS!$B$31,0,COLUMN(AO$52)-COLUMN($B$52),1,1)-OFFSET(BS!$B$31,0,COLUMN(AO$52)-COLUMN($B$52)+1,1,1)</f>
        <v>12200</v>
      </c>
      <c r="AP61" s="25">
        <f ca="1">OFFSET(BS!$B$31,0,COLUMN(AP$52)-COLUMN($B$52),1,1)-OFFSET(BS!$B$31,0,COLUMN(AP$52)-COLUMN($B$52)+1,1,1)</f>
        <v>10600</v>
      </c>
      <c r="AQ61" s="25">
        <f ca="1">OFFSET(BS!$B$31,0,COLUMN(AQ$52)-COLUMN($B$52),1,1)-OFFSET(BS!$B$31,0,COLUMN(AQ$52)-COLUMN($B$52)+1,1,1)</f>
        <v>21700</v>
      </c>
      <c r="AR61" s="25">
        <f ca="1">OFFSET(BS!$B$31,0,COLUMN(AR$52)-COLUMN($B$52),1,1)-OFFSET(BS!$B$31,0,COLUMN(AR$52)-COLUMN($B$52)+1,1,1)</f>
        <v>29100</v>
      </c>
      <c r="AS61" s="25">
        <f ca="1">OFFSET(BS!$B$31,0,COLUMN(AS$52)-COLUMN($B$52),1,1)-OFFSET(BS!$B$31,0,COLUMN(AS$52)-COLUMN($B$52)+1,1,1)</f>
        <v>26200</v>
      </c>
      <c r="AT61" s="25">
        <f ca="1">OFFSET(BS!$B$31,0,COLUMN(AT$52)-COLUMN($B$52),1,1)-OFFSET(BS!$B$31,0,COLUMN(AT$52)-COLUMN($B$52)+1,1,1)</f>
        <v>36000</v>
      </c>
      <c r="AU61" s="25">
        <f ca="1">OFFSET(BS!$B$31,0,COLUMN(AU$52)-COLUMN($B$52),1,1)-OFFSET(BS!$B$31,0,COLUMN(AU$52)-COLUMN($B$52)+1,1,1)</f>
        <v>35400</v>
      </c>
      <c r="AV61" s="25">
        <f ca="1">OFFSET(BS!$B$31,0,COLUMN(AV$52)-COLUMN($B$52),1,1)-OFFSET(BS!$B$31,0,COLUMN(AV$52)-COLUMN($B$52)+1,1,1)</f>
        <v>-14200</v>
      </c>
      <c r="AW61" s="25">
        <f ca="1">OFFSET(BS!$B$31,0,COLUMN(AW$52)-COLUMN($B$52),1,1)-OFFSET(BS!$B$31,0,COLUMN(AW$52)-COLUMN($B$52)+1,1,1)</f>
        <v>-37800</v>
      </c>
      <c r="AX61" s="25">
        <f ca="1">OFFSET(BS!$B$31,0,COLUMN(AX$52)-COLUMN($B$52),1,1)-OFFSET(BS!$B$31,0,COLUMN(AX$52)-COLUMN($B$52)+1,1,1)</f>
        <v>-47000</v>
      </c>
      <c r="AY61" s="25">
        <f ca="1">OFFSET(BS!$B$31,0,COLUMN(AY$52)-COLUMN($B$52),1,1)-OFFSET(BS!$B$31,0,COLUMN(AY$52)-COLUMN($B$52)+1,1,1)</f>
        <v>-58500</v>
      </c>
      <c r="AZ61" s="25">
        <f ca="1">OFFSET(BS!$B$31,0,COLUMN(AZ$52)-COLUMN($B$52),1,1)-OFFSET(BS!$B$31,0,COLUMN(AZ$52)-COLUMN($B$52)+1,1,1)</f>
        <v>-30800</v>
      </c>
      <c r="BA61" s="25">
        <f ca="1">OFFSET(BS!$B$31,0,COLUMN(BA$52)-COLUMN($B$52),1,1)-OFFSET(BS!$B$31,0,COLUMN(BA$52)-COLUMN($B$52)+1,1,1)</f>
        <v>1400</v>
      </c>
      <c r="BB61" s="25">
        <f ca="1">OFFSET(BS!$B$31,0,COLUMN(BB$52)-COLUMN($B$52),1,1)-OFFSET(BS!$B$31,0,COLUMN(BB$52)-COLUMN($B$52)+1,1,1)</f>
        <v>1300</v>
      </c>
      <c r="BC61" s="25">
        <f ca="1">SUM(OFFSET($B61,0,1,1,Assumptions!$B$7))</f>
        <v>-96400</v>
      </c>
      <c r="BD61" s="25">
        <f ca="1">SUM(OFFSET($B61,0,1+Assumptions!$B$7,1,SUM(Assumptions!$B$8)))</f>
        <v>-39700</v>
      </c>
      <c r="BE61" s="25">
        <f ca="1">SUM(OFFSET($B61,0,1+SUM(Assumptions!$B$7:$B$8),1,SUM(Assumptions!$B$9)))</f>
        <v>-40800</v>
      </c>
      <c r="BF61" s="25">
        <f ca="1">SUM(OFFSET($B61,0,1+SUM(Assumptions!$B$7:$B$9),1,SUM(Assumptions!$B$10)))</f>
        <v>-26600</v>
      </c>
      <c r="BG61" s="25">
        <f ca="1">SUM(BC61:BF61)</f>
        <v>-203500</v>
      </c>
    </row>
    <row r="62" spans="2:59" ht="15" customHeight="1" x14ac:dyDescent="0.3">
      <c r="B62" s="24" t="s">
        <v>85</v>
      </c>
      <c r="C62" s="52">
        <f ca="1">OFFSET(BS!$B$39,0,COLUMN(C$52)-COLUMN($B$52)+1,1,1)-OFFSET(BS!$B$39,0,COLUMN(C$52)-COLUMN($B$52),1,1)</f>
        <v>16200</v>
      </c>
      <c r="D62" s="52">
        <f ca="1">OFFSET(BS!$B$39,0,COLUMN(D$52)-COLUMN($B$52)+1,1,1)-OFFSET(BS!$B$39,0,COLUMN(D$52)-COLUMN($B$52),1,1)</f>
        <v>1700</v>
      </c>
      <c r="E62" s="52">
        <f ca="1">OFFSET(BS!$B$39,0,COLUMN(E$52)-COLUMN($B$52)+1,1,1)-OFFSET(BS!$B$39,0,COLUMN(E$52)-COLUMN($B$52),1,1)</f>
        <v>-11800</v>
      </c>
      <c r="F62" s="52">
        <f ca="1">OFFSET(BS!$B$39,0,COLUMN(F$52)-COLUMN($B$52)+1,1,1)-OFFSET(BS!$B$39,0,COLUMN(F$52)-COLUMN($B$52),1,1)</f>
        <v>9400</v>
      </c>
      <c r="G62" s="52">
        <f ca="1">OFFSET(BS!$B$39,0,COLUMN(G$52)-COLUMN($B$52)+1,1,1)-OFFSET(BS!$B$39,0,COLUMN(G$52)-COLUMN($B$52),1,1)</f>
        <v>12600</v>
      </c>
      <c r="H62" s="52">
        <f ca="1">OFFSET(BS!$B$39,0,COLUMN(H$52)-COLUMN($B$52)+1,1,1)-OFFSET(BS!$B$39,0,COLUMN(H$52)-COLUMN($B$52),1,1)</f>
        <v>15800</v>
      </c>
      <c r="I62" s="52">
        <f ca="1">OFFSET(BS!$B$39,0,COLUMN(I$52)-COLUMN($B$52)+1,1,1)-OFFSET(BS!$B$39,0,COLUMN(I$52)-COLUMN($B$52),1,1)</f>
        <v>-15600</v>
      </c>
      <c r="J62" s="52">
        <f ca="1">OFFSET(BS!$B$39,0,COLUMN(J$52)-COLUMN($B$52)+1,1,1)-OFFSET(BS!$B$39,0,COLUMN(J$52)-COLUMN($B$52),1,1)</f>
        <v>-3900</v>
      </c>
      <c r="K62" s="52">
        <f ca="1">OFFSET(BS!$B$39,0,COLUMN(K$52)-COLUMN($B$52)+1,1,1)-OFFSET(BS!$B$39,0,COLUMN(K$52)-COLUMN($B$52),1,1)</f>
        <v>15200</v>
      </c>
      <c r="L62" s="52">
        <f ca="1">OFFSET(BS!$B$39,0,COLUMN(L$52)-COLUMN($B$52)+1,1,1)-OFFSET(BS!$B$39,0,COLUMN(L$52)-COLUMN($B$52),1,1)</f>
        <v>7600</v>
      </c>
      <c r="M62" s="52">
        <f ca="1">OFFSET(BS!$B$39,0,COLUMN(M$52)-COLUMN($B$52)+1,1,1)-OFFSET(BS!$B$39,0,COLUMN(M$52)-COLUMN($B$52),1,1)</f>
        <v>-11300</v>
      </c>
      <c r="N62" s="52">
        <f ca="1">OFFSET(BS!$B$39,0,COLUMN(N$52)-COLUMN($B$52)+1,1,1)-OFFSET(BS!$B$39,0,COLUMN(N$52)-COLUMN($B$52),1,1)</f>
        <v>-18800</v>
      </c>
      <c r="O62" s="52">
        <f ca="1">OFFSET(BS!$B$39,0,COLUMN(O$52)-COLUMN($B$52)+1,1,1)-OFFSET(BS!$B$39,0,COLUMN(O$52)-COLUMN($B$52),1,1)</f>
        <v>21000</v>
      </c>
      <c r="P62" s="52">
        <f ca="1">OFFSET(BS!$B$39,0,COLUMN(P$52)-COLUMN($B$52)+1,1,1)-OFFSET(BS!$B$39,0,COLUMN(P$52)-COLUMN($B$52),1,1)</f>
        <v>17400</v>
      </c>
      <c r="Q62" s="52">
        <f ca="1">OFFSET(BS!$B$39,0,COLUMN(Q$52)-COLUMN($B$52)+1,1,1)-OFFSET(BS!$B$39,0,COLUMN(Q$52)-COLUMN($B$52),1,1)</f>
        <v>-16800</v>
      </c>
      <c r="R62" s="52">
        <f ca="1">OFFSET(BS!$B$39,0,COLUMN(R$52)-COLUMN($B$52)+1,1,1)-OFFSET(BS!$B$39,0,COLUMN(R$52)-COLUMN($B$52),1,1)</f>
        <v>-17100</v>
      </c>
      <c r="S62" s="52">
        <f ca="1">OFFSET(BS!$B$39,0,COLUMN(S$52)-COLUMN($B$52)+1,1,1)-OFFSET(BS!$B$39,0,COLUMN(S$52)-COLUMN($B$52),1,1)</f>
        <v>7700</v>
      </c>
      <c r="T62" s="52">
        <f ca="1">OFFSET(BS!$B$39,0,COLUMN(T$52)-COLUMN($B$52)+1,1,1)-OFFSET(BS!$B$39,0,COLUMN(T$52)-COLUMN($B$52),1,1)</f>
        <v>6700</v>
      </c>
      <c r="U62" s="52">
        <f ca="1">OFFSET(BS!$B$39,0,COLUMN(U$52)-COLUMN($B$52)+1,1,1)-OFFSET(BS!$B$39,0,COLUMN(U$52)-COLUMN($B$52),1,1)</f>
        <v>7700</v>
      </c>
      <c r="V62" s="52">
        <f ca="1">OFFSET(BS!$B$39,0,COLUMN(V$52)-COLUMN($B$52)+1,1,1)-OFFSET(BS!$B$39,0,COLUMN(V$52)-COLUMN($B$52),1,1)</f>
        <v>-3400</v>
      </c>
      <c r="W62" s="52">
        <f ca="1">OFFSET(BS!$B$39,0,COLUMN(W$52)-COLUMN($B$52)+1,1,1)-OFFSET(BS!$B$39,0,COLUMN(W$52)-COLUMN($B$52),1,1)</f>
        <v>-2700</v>
      </c>
      <c r="X62" s="52">
        <f ca="1">OFFSET(BS!$B$39,0,COLUMN(X$52)-COLUMN($B$52)+1,1,1)-OFFSET(BS!$B$39,0,COLUMN(X$52)-COLUMN($B$52),1,1)</f>
        <v>8800</v>
      </c>
      <c r="Y62" s="52">
        <f ca="1">OFFSET(BS!$B$39,0,COLUMN(Y$52)-COLUMN($B$52)+1,1,1)-OFFSET(BS!$B$39,0,COLUMN(Y$52)-COLUMN($B$52),1,1)</f>
        <v>-2300</v>
      </c>
      <c r="Z62" s="52">
        <f ca="1">OFFSET(BS!$B$39,0,COLUMN(Z$52)-COLUMN($B$52)+1,1,1)-OFFSET(BS!$B$39,0,COLUMN(Z$52)-COLUMN($B$52),1,1)</f>
        <v>6000</v>
      </c>
      <c r="AA62" s="52">
        <f ca="1">OFFSET(BS!$B$39,0,COLUMN(AA$52)-COLUMN($B$52)+1,1,1)-OFFSET(BS!$B$39,0,COLUMN(AA$52)-COLUMN($B$52),1,1)</f>
        <v>-2900</v>
      </c>
      <c r="AB62" s="52">
        <f ca="1">OFFSET(BS!$B$39,0,COLUMN(AB$52)-COLUMN($B$52)+1,1,1)-OFFSET(BS!$B$39,0,COLUMN(AB$52)-COLUMN($B$52),1,1)</f>
        <v>6500</v>
      </c>
      <c r="AC62" s="52">
        <f ca="1">OFFSET(BS!$B$39,0,COLUMN(AC$52)-COLUMN($B$52)+1,1,1)-OFFSET(BS!$B$39,0,COLUMN(AC$52)-COLUMN($B$52),1,1)</f>
        <v>900</v>
      </c>
      <c r="AD62" s="52">
        <f ca="1">OFFSET(BS!$B$39,0,COLUMN(AD$52)-COLUMN($B$52)+1,1,1)-OFFSET(BS!$B$39,0,COLUMN(AD$52)-COLUMN($B$52),1,1)</f>
        <v>-17400</v>
      </c>
      <c r="AE62" s="52">
        <f ca="1">OFFSET(BS!$B$39,0,COLUMN(AE$52)-COLUMN($B$52)+1,1,1)-OFFSET(BS!$B$39,0,COLUMN(AE$52)-COLUMN($B$52),1,1)</f>
        <v>-5300</v>
      </c>
      <c r="AF62" s="52">
        <f ca="1">OFFSET(BS!$B$39,0,COLUMN(AF$52)-COLUMN($B$52)+1,1,1)-OFFSET(BS!$B$39,0,COLUMN(AF$52)-COLUMN($B$52),1,1)</f>
        <v>4100</v>
      </c>
      <c r="AG62" s="52">
        <f ca="1">OFFSET(BS!$B$39,0,COLUMN(AG$52)-COLUMN($B$52)+1,1,1)-OFFSET(BS!$B$39,0,COLUMN(AG$52)-COLUMN($B$52),1,1)</f>
        <v>13900</v>
      </c>
      <c r="AH62" s="52">
        <f ca="1">OFFSET(BS!$B$39,0,COLUMN(AH$52)-COLUMN($B$52)+1,1,1)-OFFSET(BS!$B$39,0,COLUMN(AH$52)-COLUMN($B$52),1,1)</f>
        <v>25300</v>
      </c>
      <c r="AI62" s="52">
        <f ca="1">OFFSET(BS!$B$39,0,COLUMN(AI$52)-COLUMN($B$52)+1,1,1)-OFFSET(BS!$B$39,0,COLUMN(AI$52)-COLUMN($B$52),1,1)</f>
        <v>-11100</v>
      </c>
      <c r="AJ62" s="52">
        <f ca="1">OFFSET(BS!$B$39,0,COLUMN(AJ$52)-COLUMN($B$52)+1,1,1)-OFFSET(BS!$B$39,0,COLUMN(AJ$52)-COLUMN($B$52),1,1)</f>
        <v>-18700</v>
      </c>
      <c r="AK62" s="52">
        <f ca="1">OFFSET(BS!$B$39,0,COLUMN(AK$52)-COLUMN($B$52)+1,1,1)-OFFSET(BS!$B$39,0,COLUMN(AK$52)-COLUMN($B$52),1,1)</f>
        <v>19500</v>
      </c>
      <c r="AL62" s="52">
        <f ca="1">OFFSET(BS!$B$39,0,COLUMN(AL$52)-COLUMN($B$52)+1,1,1)-OFFSET(BS!$B$39,0,COLUMN(AL$52)-COLUMN($B$52),1,1)</f>
        <v>9700</v>
      </c>
      <c r="AM62" s="52">
        <f ca="1">OFFSET(BS!$B$39,0,COLUMN(AM$52)-COLUMN($B$52)+1,1,1)-OFFSET(BS!$B$39,0,COLUMN(AM$52)-COLUMN($B$52),1,1)</f>
        <v>-18200</v>
      </c>
      <c r="AN62" s="52">
        <f ca="1">OFFSET(BS!$B$39,0,COLUMN(AN$52)-COLUMN($B$52)+1,1,1)-OFFSET(BS!$B$39,0,COLUMN(AN$52)-COLUMN($B$52),1,1)</f>
        <v>-15400</v>
      </c>
      <c r="AO62" s="52">
        <f ca="1">OFFSET(BS!$B$39,0,COLUMN(AO$52)-COLUMN($B$52)+1,1,1)-OFFSET(BS!$B$39,0,COLUMN(AO$52)-COLUMN($B$52),1,1)</f>
        <v>20600</v>
      </c>
      <c r="AP62" s="52">
        <f ca="1">OFFSET(BS!$B$39,0,COLUMN(AP$52)-COLUMN($B$52)+1,1,1)-OFFSET(BS!$B$39,0,COLUMN(AP$52)-COLUMN($B$52),1,1)</f>
        <v>-6600</v>
      </c>
      <c r="AQ62" s="52">
        <f ca="1">OFFSET(BS!$B$39,0,COLUMN(AQ$52)-COLUMN($B$52)+1,1,1)-OFFSET(BS!$B$39,0,COLUMN(AQ$52)-COLUMN($B$52),1,1)</f>
        <v>-20600</v>
      </c>
      <c r="AR62" s="52">
        <f ca="1">OFFSET(BS!$B$39,0,COLUMN(AR$52)-COLUMN($B$52)+1,1,1)-OFFSET(BS!$B$39,0,COLUMN(AR$52)-COLUMN($B$52),1,1)</f>
        <v>2300</v>
      </c>
      <c r="AS62" s="52">
        <f ca="1">OFFSET(BS!$B$39,0,COLUMN(AS$52)-COLUMN($B$52)+1,1,1)-OFFSET(BS!$B$39,0,COLUMN(AS$52)-COLUMN($B$52),1,1)</f>
        <v>-18100</v>
      </c>
      <c r="AT62" s="52">
        <f ca="1">OFFSET(BS!$B$39,0,COLUMN(AT$52)-COLUMN($B$52)+1,1,1)-OFFSET(BS!$B$39,0,COLUMN(AT$52)-COLUMN($B$52),1,1)</f>
        <v>-19000</v>
      </c>
      <c r="AU62" s="52">
        <f ca="1">OFFSET(BS!$B$39,0,COLUMN(AU$52)-COLUMN($B$52)+1,1,1)-OFFSET(BS!$B$39,0,COLUMN(AU$52)-COLUMN($B$52),1,1)</f>
        <v>-3100</v>
      </c>
      <c r="AV62" s="52">
        <f ca="1">OFFSET(BS!$B$39,0,COLUMN(AV$52)-COLUMN($B$52)+1,1,1)-OFFSET(BS!$B$39,0,COLUMN(AV$52)-COLUMN($B$52),1,1)</f>
        <v>10700</v>
      </c>
      <c r="AW62" s="52">
        <f ca="1">OFFSET(BS!$B$39,0,COLUMN(AW$52)-COLUMN($B$52)+1,1,1)-OFFSET(BS!$B$39,0,COLUMN(AW$52)-COLUMN($B$52),1,1)</f>
        <v>19900</v>
      </c>
      <c r="AX62" s="52">
        <f ca="1">OFFSET(BS!$B$39,0,COLUMN(AX$52)-COLUMN($B$52)+1,1,1)-OFFSET(BS!$B$39,0,COLUMN(AX$52)-COLUMN($B$52),1,1)</f>
        <v>35200</v>
      </c>
      <c r="AY62" s="52">
        <f ca="1">OFFSET(BS!$B$39,0,COLUMN(AY$52)-COLUMN($B$52)+1,1,1)-OFFSET(BS!$B$39,0,COLUMN(AY$52)-COLUMN($B$52),1,1)</f>
        <v>17100</v>
      </c>
      <c r="AZ62" s="52">
        <f ca="1">OFFSET(BS!$B$39,0,COLUMN(AZ$52)-COLUMN($B$52)+1,1,1)-OFFSET(BS!$B$39,0,COLUMN(AZ$52)-COLUMN($B$52),1,1)</f>
        <v>-15100</v>
      </c>
      <c r="BA62" s="52">
        <f ca="1">OFFSET(BS!$B$39,0,COLUMN(BA$52)-COLUMN($B$52)+1,1,1)-OFFSET(BS!$B$39,0,COLUMN(BA$52)-COLUMN($B$52),1,1)</f>
        <v>-15800</v>
      </c>
      <c r="BB62" s="52">
        <f ca="1">OFFSET(BS!$B$39,0,COLUMN(BB$52)-COLUMN($B$52)+1,1,1)-OFFSET(BS!$B$39,0,COLUMN(BB$52)-COLUMN($B$52),1,1)</f>
        <v>17900</v>
      </c>
      <c r="BC62" s="52">
        <f ca="1">SUM(OFFSET($B62,0,1,1,Assumptions!$B$7))</f>
        <v>38100</v>
      </c>
      <c r="BD62" s="52">
        <f ca="1">SUM(OFFSET($B62,0,1+Assumptions!$B$7,1,SUM(Assumptions!$B$8)))</f>
        <v>15600</v>
      </c>
      <c r="BE62" s="52">
        <f ca="1">SUM(OFFSET($B62,0,1+SUM(Assumptions!$B$7:$B$8),1,SUM(Assumptions!$B$9)))</f>
        <v>7900</v>
      </c>
      <c r="BF62" s="52">
        <f ca="1">SUM(OFFSET($B62,0,1+SUM(Assumptions!$B$7:$B$9),1,SUM(Assumptions!$B$10)))</f>
        <v>4800</v>
      </c>
      <c r="BG62" s="52">
        <f ca="1">SUM(BC62:BF62)</f>
        <v>66400</v>
      </c>
    </row>
    <row r="63" spans="2:59" ht="15" customHeight="1" x14ac:dyDescent="0.35">
      <c r="B63" s="6" t="s">
        <v>70</v>
      </c>
      <c r="C63" s="53">
        <f t="shared" ref="C63:AH63" ca="1" si="10">SUM(C54:C62)</f>
        <v>-65200</v>
      </c>
      <c r="D63" s="53">
        <f t="shared" ca="1" si="10"/>
        <v>18025</v>
      </c>
      <c r="E63" s="53">
        <f t="shared" ca="1" si="10"/>
        <v>-10265</v>
      </c>
      <c r="F63" s="53">
        <f t="shared" ca="1" si="10"/>
        <v>31525</v>
      </c>
      <c r="G63" s="53">
        <f t="shared" ca="1" si="10"/>
        <v>19651</v>
      </c>
      <c r="H63" s="53">
        <f t="shared" ca="1" si="10"/>
        <v>3688</v>
      </c>
      <c r="I63" s="53">
        <f t="shared" ca="1" si="10"/>
        <v>9704</v>
      </c>
      <c r="J63" s="53">
        <f t="shared" ca="1" si="10"/>
        <v>9520</v>
      </c>
      <c r="K63" s="53">
        <f t="shared" ca="1" si="10"/>
        <v>23877</v>
      </c>
      <c r="L63" s="53">
        <f t="shared" ca="1" si="10"/>
        <v>4180</v>
      </c>
      <c r="M63" s="53">
        <f t="shared" ca="1" si="10"/>
        <v>-4336</v>
      </c>
      <c r="N63" s="53">
        <f t="shared" ca="1" si="10"/>
        <v>1240</v>
      </c>
      <c r="O63" s="53">
        <f t="shared" ca="1" si="10"/>
        <v>25076</v>
      </c>
      <c r="P63" s="53">
        <f t="shared" ca="1" si="10"/>
        <v>24070</v>
      </c>
      <c r="Q63" s="53">
        <f t="shared" ca="1" si="10"/>
        <v>3105</v>
      </c>
      <c r="R63" s="53">
        <f t="shared" ca="1" si="10"/>
        <v>1952.5</v>
      </c>
      <c r="S63" s="53">
        <f t="shared" ca="1" si="10"/>
        <v>11108.2</v>
      </c>
      <c r="T63" s="53">
        <f t="shared" ca="1" si="10"/>
        <v>30514</v>
      </c>
      <c r="U63" s="53">
        <f t="shared" ca="1" si="10"/>
        <v>16543.900000000001</v>
      </c>
      <c r="V63" s="53">
        <f t="shared" ca="1" si="10"/>
        <v>12040</v>
      </c>
      <c r="W63" s="53">
        <f t="shared" ca="1" si="10"/>
        <v>5058</v>
      </c>
      <c r="X63" s="53">
        <f t="shared" ca="1" si="10"/>
        <v>13482.55</v>
      </c>
      <c r="Y63" s="53">
        <f t="shared" ca="1" si="10"/>
        <v>13942.66</v>
      </c>
      <c r="Z63" s="53">
        <f t="shared" ca="1" si="10"/>
        <v>11747.919999999998</v>
      </c>
      <c r="AA63" s="53">
        <f t="shared" ca="1" si="10"/>
        <v>16640</v>
      </c>
      <c r="AB63" s="53">
        <f t="shared" ca="1" si="10"/>
        <v>5633</v>
      </c>
      <c r="AC63" s="53">
        <f t="shared" ca="1" si="10"/>
        <v>17932.400000000001</v>
      </c>
      <c r="AD63" s="53">
        <f t="shared" ca="1" si="10"/>
        <v>9239</v>
      </c>
      <c r="AE63" s="53">
        <f t="shared" ca="1" si="10"/>
        <v>14942</v>
      </c>
      <c r="AF63" s="53">
        <f t="shared" ca="1" si="10"/>
        <v>19702.800000000003</v>
      </c>
      <c r="AG63" s="53">
        <f t="shared" ca="1" si="10"/>
        <v>10068.599999999999</v>
      </c>
      <c r="AH63" s="53">
        <f t="shared" ca="1" si="10"/>
        <v>13578.400000000001</v>
      </c>
      <c r="AI63" s="53">
        <f t="shared" ref="AI63:BG63" ca="1" si="11">SUM(AI54:AI62)</f>
        <v>18542.200000000004</v>
      </c>
      <c r="AJ63" s="53">
        <f t="shared" ca="1" si="11"/>
        <v>9920.8000000000029</v>
      </c>
      <c r="AK63" s="53">
        <f t="shared" ca="1" si="11"/>
        <v>35345.700000000004</v>
      </c>
      <c r="AL63" s="53">
        <f t="shared" ca="1" si="11"/>
        <v>35573</v>
      </c>
      <c r="AM63" s="53">
        <f t="shared" ca="1" si="11"/>
        <v>9600.5999999999985</v>
      </c>
      <c r="AN63" s="53">
        <f t="shared" ca="1" si="11"/>
        <v>16028.36</v>
      </c>
      <c r="AO63" s="53">
        <f t="shared" ca="1" si="11"/>
        <v>37587.919999999998</v>
      </c>
      <c r="AP63" s="53">
        <f t="shared" ca="1" si="11"/>
        <v>41198.58</v>
      </c>
      <c r="AQ63" s="53">
        <f t="shared" ca="1" si="11"/>
        <v>27463</v>
      </c>
      <c r="AR63" s="53">
        <f t="shared" ca="1" si="11"/>
        <v>49090.5</v>
      </c>
      <c r="AS63" s="53">
        <f t="shared" ca="1" si="11"/>
        <v>39731.5</v>
      </c>
      <c r="AT63" s="53">
        <f t="shared" ca="1" si="11"/>
        <v>42420</v>
      </c>
      <c r="AU63" s="53">
        <f t="shared" ca="1" si="11"/>
        <v>49880.5</v>
      </c>
      <c r="AV63" s="53">
        <f t="shared" ca="1" si="11"/>
        <v>13196.5</v>
      </c>
      <c r="AW63" s="53">
        <f t="shared" ca="1" si="11"/>
        <v>-7559.0999999999985</v>
      </c>
      <c r="AX63" s="53">
        <f t="shared" ca="1" si="11"/>
        <v>-31188.100000000006</v>
      </c>
      <c r="AY63" s="53">
        <f t="shared" ca="1" si="11"/>
        <v>-42479</v>
      </c>
      <c r="AZ63" s="53">
        <f t="shared" ca="1" si="11"/>
        <v>-20615.5</v>
      </c>
      <c r="BA63" s="53">
        <f t="shared" ca="1" si="11"/>
        <v>19025.5</v>
      </c>
      <c r="BB63" s="53">
        <f t="shared" ca="1" si="11"/>
        <v>30569.200000000004</v>
      </c>
      <c r="BC63" s="53">
        <f t="shared" ca="1" si="11"/>
        <v>66685</v>
      </c>
      <c r="BD63" s="53">
        <f t="shared" ca="1" si="11"/>
        <v>165837.73000000001</v>
      </c>
      <c r="BE63" s="53">
        <f t="shared" ca="1" si="11"/>
        <v>248061.78000000003</v>
      </c>
      <c r="BF63" s="53">
        <f t="shared" ca="1" si="11"/>
        <v>210733.58000000002</v>
      </c>
      <c r="BG63" s="53">
        <f t="shared" ca="1" si="11"/>
        <v>691318.09000000008</v>
      </c>
    </row>
    <row r="64" spans="2:59" ht="15" customHeight="1" x14ac:dyDescent="0.3">
      <c r="B64" s="7" t="s">
        <v>71</v>
      </c>
      <c r="C64" s="25">
        <f t="shared" ref="C64:AH64" ca="1" si="12">-C55</f>
        <v>0</v>
      </c>
      <c r="D64" s="25">
        <f t="shared" ca="1" si="12"/>
        <v>-8250</v>
      </c>
      <c r="E64" s="25">
        <f t="shared" ca="1" si="12"/>
        <v>0</v>
      </c>
      <c r="F64" s="25">
        <f t="shared" ca="1" si="12"/>
        <v>0</v>
      </c>
      <c r="G64" s="25">
        <f t="shared" ca="1" si="12"/>
        <v>0</v>
      </c>
      <c r="H64" s="25">
        <f t="shared" ca="1" si="12"/>
        <v>-8140</v>
      </c>
      <c r="I64" s="25">
        <f t="shared" ca="1" si="12"/>
        <v>0</v>
      </c>
      <c r="J64" s="25">
        <f t="shared" ca="1" si="12"/>
        <v>0</v>
      </c>
      <c r="K64" s="25">
        <f t="shared" ca="1" si="12"/>
        <v>0</v>
      </c>
      <c r="L64" s="25">
        <f t="shared" ca="1" si="12"/>
        <v>0</v>
      </c>
      <c r="M64" s="25">
        <f t="shared" ca="1" si="12"/>
        <v>-8030</v>
      </c>
      <c r="N64" s="25">
        <f t="shared" ca="1" si="12"/>
        <v>0</v>
      </c>
      <c r="O64" s="25">
        <f t="shared" ca="1" si="12"/>
        <v>0</v>
      </c>
      <c r="P64" s="25">
        <f t="shared" ca="1" si="12"/>
        <v>0</v>
      </c>
      <c r="Q64" s="25">
        <f t="shared" ca="1" si="12"/>
        <v>-8290</v>
      </c>
      <c r="R64" s="25">
        <f t="shared" ca="1" si="12"/>
        <v>0</v>
      </c>
      <c r="S64" s="25">
        <f t="shared" ca="1" si="12"/>
        <v>0</v>
      </c>
      <c r="T64" s="25">
        <f t="shared" ca="1" si="12"/>
        <v>0</v>
      </c>
      <c r="U64" s="25">
        <f t="shared" ca="1" si="12"/>
        <v>-8180</v>
      </c>
      <c r="V64" s="25">
        <f t="shared" ca="1" si="12"/>
        <v>0</v>
      </c>
      <c r="W64" s="25">
        <f t="shared" ca="1" si="12"/>
        <v>0</v>
      </c>
      <c r="X64" s="25">
        <f t="shared" ca="1" si="12"/>
        <v>0</v>
      </c>
      <c r="Y64" s="25">
        <f t="shared" ca="1" si="12"/>
        <v>0</v>
      </c>
      <c r="Z64" s="25">
        <f t="shared" ca="1" si="12"/>
        <v>-8060</v>
      </c>
      <c r="AA64" s="25">
        <f t="shared" ca="1" si="12"/>
        <v>0</v>
      </c>
      <c r="AB64" s="25">
        <f t="shared" ca="1" si="12"/>
        <v>0</v>
      </c>
      <c r="AC64" s="25">
        <f t="shared" ca="1" si="12"/>
        <v>0</v>
      </c>
      <c r="AD64" s="25">
        <f t="shared" ca="1" si="12"/>
        <v>-7940</v>
      </c>
      <c r="AE64" s="25">
        <f t="shared" ca="1" si="12"/>
        <v>0</v>
      </c>
      <c r="AF64" s="25">
        <f t="shared" ca="1" si="12"/>
        <v>0</v>
      </c>
      <c r="AG64" s="25">
        <f t="shared" ca="1" si="12"/>
        <v>0</v>
      </c>
      <c r="AH64" s="25">
        <f t="shared" ca="1" si="12"/>
        <v>-7820</v>
      </c>
      <c r="AI64" s="25">
        <f t="shared" ref="AI64:BB64" ca="1" si="13">-AI55</f>
        <v>0</v>
      </c>
      <c r="AJ64" s="25">
        <f t="shared" ca="1" si="13"/>
        <v>0</v>
      </c>
      <c r="AK64" s="25">
        <f t="shared" ca="1" si="13"/>
        <v>0</v>
      </c>
      <c r="AL64" s="25">
        <f t="shared" ca="1" si="13"/>
        <v>0</v>
      </c>
      <c r="AM64" s="25">
        <f t="shared" ca="1" si="13"/>
        <v>-7700</v>
      </c>
      <c r="AN64" s="25">
        <f t="shared" ca="1" si="13"/>
        <v>0</v>
      </c>
      <c r="AO64" s="25">
        <f t="shared" ca="1" si="13"/>
        <v>0</v>
      </c>
      <c r="AP64" s="25">
        <f t="shared" ca="1" si="13"/>
        <v>0</v>
      </c>
      <c r="AQ64" s="25">
        <f t="shared" ca="1" si="13"/>
        <v>-7580</v>
      </c>
      <c r="AR64" s="25">
        <f t="shared" ca="1" si="13"/>
        <v>0</v>
      </c>
      <c r="AS64" s="25">
        <f t="shared" ca="1" si="13"/>
        <v>0</v>
      </c>
      <c r="AT64" s="25">
        <f t="shared" ca="1" si="13"/>
        <v>0</v>
      </c>
      <c r="AU64" s="25">
        <f t="shared" ca="1" si="13"/>
        <v>0</v>
      </c>
      <c r="AV64" s="25">
        <f t="shared" ca="1" si="13"/>
        <v>-7460</v>
      </c>
      <c r="AW64" s="25">
        <f t="shared" ca="1" si="13"/>
        <v>0</v>
      </c>
      <c r="AX64" s="25">
        <f t="shared" ca="1" si="13"/>
        <v>0</v>
      </c>
      <c r="AY64" s="25">
        <f t="shared" ca="1" si="13"/>
        <v>0</v>
      </c>
      <c r="AZ64" s="25">
        <f t="shared" ca="1" si="13"/>
        <v>-7330</v>
      </c>
      <c r="BA64" s="25">
        <f t="shared" ca="1" si="13"/>
        <v>0</v>
      </c>
      <c r="BB64" s="25">
        <f t="shared" ca="1" si="13"/>
        <v>0</v>
      </c>
      <c r="BC64" s="25">
        <f ca="1">SUM(OFFSET($B64,0,1,1,Assumptions!$B$7))</f>
        <v>-24420</v>
      </c>
      <c r="BD64" s="25">
        <f ca="1">SUM(OFFSET($B64,0,1+Assumptions!$B$7,1,SUM(Assumptions!$B$8)))</f>
        <v>-24530</v>
      </c>
      <c r="BE64" s="25">
        <f ca="1">SUM(OFFSET($B64,0,1+SUM(Assumptions!$B$7:$B$8),1,SUM(Assumptions!$B$9)))</f>
        <v>-23460</v>
      </c>
      <c r="BF64" s="25">
        <f ca="1">SUM(OFFSET($B64,0,1+SUM(Assumptions!$B$7:$B$9),1,SUM(Assumptions!$B$10)))</f>
        <v>-22370</v>
      </c>
      <c r="BG64" s="25">
        <f ca="1">SUM(BC64:BF64)</f>
        <v>-94780</v>
      </c>
    </row>
    <row r="65" spans="1:59" ht="15" customHeight="1" x14ac:dyDescent="0.3">
      <c r="B65" s="7" t="s">
        <v>72</v>
      </c>
      <c r="C65" s="25">
        <f ca="1">OFFSET(BS!$B$40,0,COLUMN(C$52)-COLUMN($B$52)+1,1,1)-OFFSET(BS!$B$40,0,COLUMN(C$52)-COLUMN($B$52),1,1)-C56</f>
        <v>0</v>
      </c>
      <c r="D65" s="25">
        <f ca="1">OFFSET(BS!$B$40,0,COLUMN(D$52)-COLUMN($B$52)+1,1,1)-OFFSET(BS!$B$40,0,COLUMN(D$52)-COLUMN($B$52),1,1)-D56</f>
        <v>0</v>
      </c>
      <c r="E65" s="25">
        <f ca="1">OFFSET(BS!$B$40,0,COLUMN(E$52)-COLUMN($B$52)+1,1,1)-OFFSET(BS!$B$40,0,COLUMN(E$52)-COLUMN($B$52),1,1)-E56</f>
        <v>0</v>
      </c>
      <c r="F65" s="25">
        <f ca="1">OFFSET(BS!$B$40,0,COLUMN(F$52)-COLUMN($B$52)+1,1,1)-OFFSET(BS!$B$40,0,COLUMN(F$52)-COLUMN($B$52),1,1)-F56</f>
        <v>0</v>
      </c>
      <c r="G65" s="25">
        <f ca="1">OFFSET(BS!$B$40,0,COLUMN(G$52)-COLUMN($B$52)+1,1,1)-OFFSET(BS!$B$40,0,COLUMN(G$52)-COLUMN($B$52),1,1)-G56</f>
        <v>0</v>
      </c>
      <c r="H65" s="25">
        <f ca="1">OFFSET(BS!$B$40,0,COLUMN(H$52)-COLUMN($B$52)+1,1,1)-OFFSET(BS!$B$40,0,COLUMN(H$52)-COLUMN($B$52),1,1)-H56</f>
        <v>0</v>
      </c>
      <c r="I65" s="25">
        <f ca="1">OFFSET(BS!$B$40,0,COLUMN(I$52)-COLUMN($B$52)+1,1,1)-OFFSET(BS!$B$40,0,COLUMN(I$52)-COLUMN($B$52),1,1)-I56</f>
        <v>0</v>
      </c>
      <c r="J65" s="25">
        <f ca="1">OFFSET(BS!$B$40,0,COLUMN(J$52)-COLUMN($B$52)+1,1,1)-OFFSET(BS!$B$40,0,COLUMN(J$52)-COLUMN($B$52),1,1)-J56</f>
        <v>0</v>
      </c>
      <c r="K65" s="25">
        <f ca="1">OFFSET(BS!$B$40,0,COLUMN(K$52)-COLUMN($B$52)+1,1,1)-OFFSET(BS!$B$40,0,COLUMN(K$52)-COLUMN($B$52),1,1)-K56</f>
        <v>0</v>
      </c>
      <c r="L65" s="25">
        <f ca="1">OFFSET(BS!$B$40,0,COLUMN(L$52)-COLUMN($B$52)+1,1,1)-OFFSET(BS!$B$40,0,COLUMN(L$52)-COLUMN($B$52),1,1)-L56</f>
        <v>0</v>
      </c>
      <c r="M65" s="25">
        <f ca="1">OFFSET(BS!$B$40,0,COLUMN(M$52)-COLUMN($B$52)+1,1,1)-OFFSET(BS!$B$40,0,COLUMN(M$52)-COLUMN($B$52),1,1)-M56</f>
        <v>0</v>
      </c>
      <c r="N65" s="25">
        <f ca="1">OFFSET(BS!$B$40,0,COLUMN(N$52)-COLUMN($B$52)+1,1,1)-OFFSET(BS!$B$40,0,COLUMN(N$52)-COLUMN($B$52),1,1)-N56</f>
        <v>0</v>
      </c>
      <c r="O65" s="25">
        <f ca="1">OFFSET(BS!$B$40,0,COLUMN(O$52)-COLUMN($B$52)+1,1,1)-OFFSET(BS!$B$40,0,COLUMN(O$52)-COLUMN($B$52),1,1)-O56</f>
        <v>0</v>
      </c>
      <c r="P65" s="25">
        <f ca="1">OFFSET(BS!$B$40,0,COLUMN(P$52)-COLUMN($B$52)+1,1,1)-OFFSET(BS!$B$40,0,COLUMN(P$52)-COLUMN($B$52),1,1)-P56</f>
        <v>0</v>
      </c>
      <c r="Q65" s="25">
        <f ca="1">OFFSET(BS!$B$40,0,COLUMN(Q$52)-COLUMN($B$52)+1,1,1)-OFFSET(BS!$B$40,0,COLUMN(Q$52)-COLUMN($B$52),1,1)-Q56</f>
        <v>0</v>
      </c>
      <c r="R65" s="25">
        <f ca="1">OFFSET(BS!$B$40,0,COLUMN(R$52)-COLUMN($B$52)+1,1,1)-OFFSET(BS!$B$40,0,COLUMN(R$52)-COLUMN($B$52),1,1)-R56</f>
        <v>0</v>
      </c>
      <c r="S65" s="25">
        <f ca="1">OFFSET(BS!$B$40,0,COLUMN(S$52)-COLUMN($B$52)+1,1,1)-OFFSET(BS!$B$40,0,COLUMN(S$52)-COLUMN($B$52),1,1)-S56</f>
        <v>0</v>
      </c>
      <c r="T65" s="25">
        <f ca="1">OFFSET(BS!$B$40,0,COLUMN(T$52)-COLUMN($B$52)+1,1,1)-OFFSET(BS!$B$40,0,COLUMN(T$52)-COLUMN($B$52),1,1)-T56</f>
        <v>0</v>
      </c>
      <c r="U65" s="25">
        <f ca="1">OFFSET(BS!$B$40,0,COLUMN(U$52)-COLUMN($B$52)+1,1,1)-OFFSET(BS!$B$40,0,COLUMN(U$52)-COLUMN($B$52),1,1)-U56</f>
        <v>0</v>
      </c>
      <c r="V65" s="25">
        <f ca="1">OFFSET(BS!$B$40,0,COLUMN(V$52)-COLUMN($B$52)+1,1,1)-OFFSET(BS!$B$40,0,COLUMN(V$52)-COLUMN($B$52),1,1)-V56</f>
        <v>0</v>
      </c>
      <c r="W65" s="25">
        <f ca="1">OFFSET(BS!$B$40,0,COLUMN(W$52)-COLUMN($B$52)+1,1,1)-OFFSET(BS!$B$40,0,COLUMN(W$52)-COLUMN($B$52),1,1)-W56</f>
        <v>0</v>
      </c>
      <c r="X65" s="25">
        <f ca="1">OFFSET(BS!$B$40,0,COLUMN(X$52)-COLUMN($B$52)+1,1,1)-OFFSET(BS!$B$40,0,COLUMN(X$52)-COLUMN($B$52),1,1)-X56</f>
        <v>0</v>
      </c>
      <c r="Y65" s="25">
        <f ca="1">OFFSET(BS!$B$40,0,COLUMN(Y$52)-COLUMN($B$52)+1,1,1)-OFFSET(BS!$B$40,0,COLUMN(Y$52)-COLUMN($B$52),1,1)-Y56</f>
        <v>0</v>
      </c>
      <c r="Z65" s="25">
        <f ca="1">OFFSET(BS!$B$40,0,COLUMN(Z$52)-COLUMN($B$52)+1,1,1)-OFFSET(BS!$B$40,0,COLUMN(Z$52)-COLUMN($B$52),1,1)-Z56</f>
        <v>0</v>
      </c>
      <c r="AA65" s="25">
        <f ca="1">OFFSET(BS!$B$40,0,COLUMN(AA$52)-COLUMN($B$52)+1,1,1)-OFFSET(BS!$B$40,0,COLUMN(AA$52)-COLUMN($B$52),1,1)-AA56</f>
        <v>0</v>
      </c>
      <c r="AB65" s="25">
        <f ca="1">OFFSET(BS!$B$40,0,COLUMN(AB$52)-COLUMN($B$52)+1,1,1)-OFFSET(BS!$B$40,0,COLUMN(AB$52)-COLUMN($B$52),1,1)-AB56</f>
        <v>-66277.884399999995</v>
      </c>
      <c r="AC65" s="25">
        <f ca="1">OFFSET(BS!$B$40,0,COLUMN(AC$52)-COLUMN($B$52)+1,1,1)-OFFSET(BS!$B$40,0,COLUMN(AC$52)-COLUMN($B$52),1,1)-AC56</f>
        <v>0</v>
      </c>
      <c r="AD65" s="25">
        <f ca="1">OFFSET(BS!$B$40,0,COLUMN(AD$52)-COLUMN($B$52)+1,1,1)-OFFSET(BS!$B$40,0,COLUMN(AD$52)-COLUMN($B$52),1,1)-AD56</f>
        <v>0</v>
      </c>
      <c r="AE65" s="25">
        <f ca="1">OFFSET(BS!$B$40,0,COLUMN(AE$52)-COLUMN($B$52)+1,1,1)-OFFSET(BS!$B$40,0,COLUMN(AE$52)-COLUMN($B$52),1,1)-AE56</f>
        <v>0</v>
      </c>
      <c r="AF65" s="25">
        <f ca="1">OFFSET(BS!$B$40,0,COLUMN(AF$52)-COLUMN($B$52)+1,1,1)-OFFSET(BS!$B$40,0,COLUMN(AF$52)-COLUMN($B$52),1,1)-AF56</f>
        <v>0</v>
      </c>
      <c r="AG65" s="25">
        <f ca="1">OFFSET(BS!$B$40,0,COLUMN(AG$52)-COLUMN($B$52)+1,1,1)-OFFSET(BS!$B$40,0,COLUMN(AG$52)-COLUMN($B$52),1,1)-AG56</f>
        <v>0</v>
      </c>
      <c r="AH65" s="25">
        <f ca="1">OFFSET(BS!$B$40,0,COLUMN(AH$52)-COLUMN($B$52)+1,1,1)-OFFSET(BS!$B$40,0,COLUMN(AH$52)-COLUMN($B$52),1,1)-AH56</f>
        <v>0</v>
      </c>
      <c r="AI65" s="25">
        <f ca="1">OFFSET(BS!$B$40,0,COLUMN(AI$52)-COLUMN($B$52)+1,1,1)-OFFSET(BS!$B$40,0,COLUMN(AI$52)-COLUMN($B$52),1,1)-AI56</f>
        <v>0</v>
      </c>
      <c r="AJ65" s="25">
        <f ca="1">OFFSET(BS!$B$40,0,COLUMN(AJ$52)-COLUMN($B$52)+1,1,1)-OFFSET(BS!$B$40,0,COLUMN(AJ$52)-COLUMN($B$52),1,1)-AJ56</f>
        <v>0</v>
      </c>
      <c r="AK65" s="25">
        <f ca="1">OFFSET(BS!$B$40,0,COLUMN(AK$52)-COLUMN($B$52)+1,1,1)-OFFSET(BS!$B$40,0,COLUMN(AK$52)-COLUMN($B$52),1,1)-AK56</f>
        <v>0</v>
      </c>
      <c r="AL65" s="25">
        <f ca="1">OFFSET(BS!$B$40,0,COLUMN(AL$52)-COLUMN($B$52)+1,1,1)-OFFSET(BS!$B$40,0,COLUMN(AL$52)-COLUMN($B$52),1,1)-AL56</f>
        <v>0</v>
      </c>
      <c r="AM65" s="25">
        <f ca="1">OFFSET(BS!$B$40,0,COLUMN(AM$52)-COLUMN($B$52)+1,1,1)-OFFSET(BS!$B$40,0,COLUMN(AM$52)-COLUMN($B$52),1,1)-AM56</f>
        <v>0</v>
      </c>
      <c r="AN65" s="25">
        <f ca="1">OFFSET(BS!$B$40,0,COLUMN(AN$52)-COLUMN($B$52)+1,1,1)-OFFSET(BS!$B$40,0,COLUMN(AN$52)-COLUMN($B$52),1,1)-AN56</f>
        <v>0</v>
      </c>
      <c r="AO65" s="25">
        <f ca="1">OFFSET(BS!$B$40,0,COLUMN(AO$52)-COLUMN($B$52)+1,1,1)-OFFSET(BS!$B$40,0,COLUMN(AO$52)-COLUMN($B$52),1,1)-AO56</f>
        <v>0</v>
      </c>
      <c r="AP65" s="25">
        <f ca="1">OFFSET(BS!$B$40,0,COLUMN(AP$52)-COLUMN($B$52)+1,1,1)-OFFSET(BS!$B$40,0,COLUMN(AP$52)-COLUMN($B$52),1,1)-AP56</f>
        <v>0</v>
      </c>
      <c r="AQ65" s="25">
        <f ca="1">OFFSET(BS!$B$40,0,COLUMN(AQ$52)-COLUMN($B$52)+1,1,1)-OFFSET(BS!$B$40,0,COLUMN(AQ$52)-COLUMN($B$52),1,1)-AQ56</f>
        <v>0</v>
      </c>
      <c r="AR65" s="25">
        <f ca="1">OFFSET(BS!$B$40,0,COLUMN(AR$52)-COLUMN($B$52)+1,1,1)-OFFSET(BS!$B$40,0,COLUMN(AR$52)-COLUMN($B$52),1,1)-AR56</f>
        <v>0</v>
      </c>
      <c r="AS65" s="25">
        <f ca="1">OFFSET(BS!$B$40,0,COLUMN(AS$52)-COLUMN($B$52)+1,1,1)-OFFSET(BS!$B$40,0,COLUMN(AS$52)-COLUMN($B$52),1,1)-AS56</f>
        <v>0</v>
      </c>
      <c r="AT65" s="25">
        <f ca="1">OFFSET(BS!$B$40,0,COLUMN(AT$52)-COLUMN($B$52)+1,1,1)-OFFSET(BS!$B$40,0,COLUMN(AT$52)-COLUMN($B$52),1,1)-AT56</f>
        <v>0</v>
      </c>
      <c r="AU65" s="25">
        <f ca="1">OFFSET(BS!$B$40,0,COLUMN(AU$52)-COLUMN($B$52)+1,1,1)-OFFSET(BS!$B$40,0,COLUMN(AU$52)-COLUMN($B$52),1,1)-AU56</f>
        <v>0</v>
      </c>
      <c r="AV65" s="25">
        <f ca="1">OFFSET(BS!$B$40,0,COLUMN(AV$52)-COLUMN($B$52)+1,1,1)-OFFSET(BS!$B$40,0,COLUMN(AV$52)-COLUMN($B$52),1,1)-AV56</f>
        <v>0</v>
      </c>
      <c r="AW65" s="25">
        <f ca="1">OFFSET(BS!$B$40,0,COLUMN(AW$52)-COLUMN($B$52)+1,1,1)-OFFSET(BS!$B$40,0,COLUMN(AW$52)-COLUMN($B$52),1,1)-AW56</f>
        <v>0</v>
      </c>
      <c r="AX65" s="25">
        <f ca="1">OFFSET(BS!$B$40,0,COLUMN(AX$52)-COLUMN($B$52)+1,1,1)-OFFSET(BS!$B$40,0,COLUMN(AX$52)-COLUMN($B$52),1,1)-AX56</f>
        <v>0</v>
      </c>
      <c r="AY65" s="25">
        <f ca="1">OFFSET(BS!$B$40,0,COLUMN(AY$52)-COLUMN($B$52)+1,1,1)-OFFSET(BS!$B$40,0,COLUMN(AY$52)-COLUMN($B$52),1,1)-AY56</f>
        <v>0</v>
      </c>
      <c r="AZ65" s="25">
        <f ca="1">OFFSET(BS!$B$40,0,COLUMN(AZ$52)-COLUMN($B$52)+1,1,1)-OFFSET(BS!$B$40,0,COLUMN(AZ$52)-COLUMN($B$52),1,1)-AZ56</f>
        <v>0</v>
      </c>
      <c r="BA65" s="25">
        <f ca="1">OFFSET(BS!$B$40,0,COLUMN(BA$52)-COLUMN($B$52)+1,1,1)-OFFSET(BS!$B$40,0,COLUMN(BA$52)-COLUMN($B$52),1,1)-BA56</f>
        <v>0</v>
      </c>
      <c r="BB65" s="25">
        <f ca="1">OFFSET(BS!$B$40,0,COLUMN(BB$52)-COLUMN($B$52)+1,1,1)-OFFSET(BS!$B$40,0,COLUMN(BB$52)-COLUMN($B$52),1,1)-BB56</f>
        <v>-109582.30080000001</v>
      </c>
      <c r="BC65" s="25">
        <f ca="1">SUM(OFFSET($B65,0,1,1,Assumptions!$B$7))</f>
        <v>0</v>
      </c>
      <c r="BD65" s="25">
        <f ca="1">SUM(OFFSET($B65,0,1+Assumptions!$B$7,1,SUM(Assumptions!$B$8)))</f>
        <v>-66277.884399999995</v>
      </c>
      <c r="BE65" s="25">
        <f ca="1">SUM(OFFSET($B65,0,1+SUM(Assumptions!$B$7:$B$8),1,SUM(Assumptions!$B$9)))</f>
        <v>0</v>
      </c>
      <c r="BF65" s="25">
        <f ca="1">SUM(OFFSET($B65,0,1+SUM(Assumptions!$B$7:$B$9),1,SUM(Assumptions!$B$10)))</f>
        <v>-109582.30080000001</v>
      </c>
      <c r="BG65" s="25">
        <f ca="1">SUM(BC65:BF65)</f>
        <v>-175860.18520000001</v>
      </c>
    </row>
    <row r="66" spans="1:59" ht="15" customHeight="1" x14ac:dyDescent="0.35">
      <c r="B66" s="6" t="s">
        <v>73</v>
      </c>
      <c r="C66" s="54">
        <f t="shared" ref="C66:AH66" ca="1" si="14">SUM(C63:C65)</f>
        <v>-65200</v>
      </c>
      <c r="D66" s="54">
        <f t="shared" ca="1" si="14"/>
        <v>9775</v>
      </c>
      <c r="E66" s="54">
        <f t="shared" ca="1" si="14"/>
        <v>-10265</v>
      </c>
      <c r="F66" s="54">
        <f t="shared" ca="1" si="14"/>
        <v>31525</v>
      </c>
      <c r="G66" s="54">
        <f t="shared" ca="1" si="14"/>
        <v>19651</v>
      </c>
      <c r="H66" s="54">
        <f t="shared" ca="1" si="14"/>
        <v>-4452</v>
      </c>
      <c r="I66" s="54">
        <f t="shared" ca="1" si="14"/>
        <v>9704</v>
      </c>
      <c r="J66" s="54">
        <f t="shared" ca="1" si="14"/>
        <v>9520</v>
      </c>
      <c r="K66" s="54">
        <f t="shared" ca="1" si="14"/>
        <v>23877</v>
      </c>
      <c r="L66" s="54">
        <f t="shared" ca="1" si="14"/>
        <v>4180</v>
      </c>
      <c r="M66" s="54">
        <f t="shared" ca="1" si="14"/>
        <v>-12366</v>
      </c>
      <c r="N66" s="54">
        <f t="shared" ca="1" si="14"/>
        <v>1240</v>
      </c>
      <c r="O66" s="54">
        <f t="shared" ca="1" si="14"/>
        <v>25076</v>
      </c>
      <c r="P66" s="54">
        <f t="shared" ca="1" si="14"/>
        <v>24070</v>
      </c>
      <c r="Q66" s="54">
        <f t="shared" ca="1" si="14"/>
        <v>-5185</v>
      </c>
      <c r="R66" s="54">
        <f t="shared" ca="1" si="14"/>
        <v>1952.5</v>
      </c>
      <c r="S66" s="54">
        <f t="shared" ca="1" si="14"/>
        <v>11108.2</v>
      </c>
      <c r="T66" s="54">
        <f t="shared" ca="1" si="14"/>
        <v>30514</v>
      </c>
      <c r="U66" s="54">
        <f t="shared" ca="1" si="14"/>
        <v>8363.9000000000015</v>
      </c>
      <c r="V66" s="54">
        <f t="shared" ca="1" si="14"/>
        <v>12040</v>
      </c>
      <c r="W66" s="54">
        <f t="shared" ca="1" si="14"/>
        <v>5058</v>
      </c>
      <c r="X66" s="54">
        <f t="shared" ca="1" si="14"/>
        <v>13482.55</v>
      </c>
      <c r="Y66" s="54">
        <f t="shared" ca="1" si="14"/>
        <v>13942.66</v>
      </c>
      <c r="Z66" s="54">
        <f t="shared" ca="1" si="14"/>
        <v>3687.9199999999983</v>
      </c>
      <c r="AA66" s="54">
        <f t="shared" ca="1" si="14"/>
        <v>16640</v>
      </c>
      <c r="AB66" s="54">
        <f t="shared" ca="1" si="14"/>
        <v>-60644.884399999995</v>
      </c>
      <c r="AC66" s="54">
        <f t="shared" ca="1" si="14"/>
        <v>17932.400000000001</v>
      </c>
      <c r="AD66" s="54">
        <f t="shared" ca="1" si="14"/>
        <v>1299</v>
      </c>
      <c r="AE66" s="54">
        <f t="shared" ca="1" si="14"/>
        <v>14942</v>
      </c>
      <c r="AF66" s="54">
        <f t="shared" ca="1" si="14"/>
        <v>19702.800000000003</v>
      </c>
      <c r="AG66" s="54">
        <f t="shared" ca="1" si="14"/>
        <v>10068.599999999999</v>
      </c>
      <c r="AH66" s="54">
        <f t="shared" ca="1" si="14"/>
        <v>5758.4000000000015</v>
      </c>
      <c r="AI66" s="54">
        <f t="shared" ref="AI66:BG66" ca="1" si="15">SUM(AI63:AI65)</f>
        <v>18542.200000000004</v>
      </c>
      <c r="AJ66" s="54">
        <f t="shared" ca="1" si="15"/>
        <v>9920.8000000000029</v>
      </c>
      <c r="AK66" s="54">
        <f t="shared" ca="1" si="15"/>
        <v>35345.700000000004</v>
      </c>
      <c r="AL66" s="54">
        <f t="shared" ca="1" si="15"/>
        <v>35573</v>
      </c>
      <c r="AM66" s="54">
        <f t="shared" ca="1" si="15"/>
        <v>1900.5999999999985</v>
      </c>
      <c r="AN66" s="54">
        <f t="shared" ca="1" si="15"/>
        <v>16028.36</v>
      </c>
      <c r="AO66" s="54">
        <f t="shared" ca="1" si="15"/>
        <v>37587.919999999998</v>
      </c>
      <c r="AP66" s="54">
        <f t="shared" ca="1" si="15"/>
        <v>41198.58</v>
      </c>
      <c r="AQ66" s="54">
        <f t="shared" ca="1" si="15"/>
        <v>19883</v>
      </c>
      <c r="AR66" s="54">
        <f t="shared" ca="1" si="15"/>
        <v>49090.5</v>
      </c>
      <c r="AS66" s="54">
        <f t="shared" ca="1" si="15"/>
        <v>39731.5</v>
      </c>
      <c r="AT66" s="54">
        <f t="shared" ca="1" si="15"/>
        <v>42420</v>
      </c>
      <c r="AU66" s="54">
        <f t="shared" ca="1" si="15"/>
        <v>49880.5</v>
      </c>
      <c r="AV66" s="54">
        <f t="shared" ca="1" si="15"/>
        <v>5736.5</v>
      </c>
      <c r="AW66" s="54">
        <f t="shared" ca="1" si="15"/>
        <v>-7559.0999999999985</v>
      </c>
      <c r="AX66" s="54">
        <f t="shared" ca="1" si="15"/>
        <v>-31188.100000000006</v>
      </c>
      <c r="AY66" s="54">
        <f t="shared" ca="1" si="15"/>
        <v>-42479</v>
      </c>
      <c r="AZ66" s="54">
        <f t="shared" ca="1" si="15"/>
        <v>-27945.5</v>
      </c>
      <c r="BA66" s="54">
        <f t="shared" ca="1" si="15"/>
        <v>19025.5</v>
      </c>
      <c r="BB66" s="54">
        <f t="shared" ca="1" si="15"/>
        <v>-79013.100800000015</v>
      </c>
      <c r="BC66" s="54">
        <f t="shared" ca="1" si="15"/>
        <v>42265</v>
      </c>
      <c r="BD66" s="54">
        <f t="shared" ca="1" si="15"/>
        <v>75029.845600000015</v>
      </c>
      <c r="BE66" s="54">
        <f t="shared" ca="1" si="15"/>
        <v>224601.78000000003</v>
      </c>
      <c r="BF66" s="54">
        <f t="shared" ca="1" si="15"/>
        <v>78781.279200000004</v>
      </c>
      <c r="BG66" s="54">
        <f t="shared" ca="1" si="15"/>
        <v>420677.90480000008</v>
      </c>
    </row>
    <row r="67" spans="1:59" ht="15" customHeight="1" x14ac:dyDescent="0.3">
      <c r="B67" s="24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</row>
    <row r="68" spans="1:59" ht="15" customHeight="1" x14ac:dyDescent="0.35">
      <c r="B68" s="2" t="s">
        <v>74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</row>
    <row r="69" spans="1:59" ht="15" customHeight="1" x14ac:dyDescent="0.35">
      <c r="A69" s="20"/>
      <c r="B69" s="24" t="s">
        <v>75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-80000</v>
      </c>
      <c r="P69" s="25">
        <v>-20000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-50000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-70000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f ca="1">SUM(OFFSET($B69,0,1,1,Assumptions!$B$7))</f>
        <v>-80000</v>
      </c>
      <c r="BD69" s="25">
        <f ca="1">SUM(OFFSET($B69,0,1+Assumptions!$B$7,1,SUM(Assumptions!$B$8)))</f>
        <v>-70000</v>
      </c>
      <c r="BE69" s="25">
        <f ca="1">SUM(OFFSET($B69,0,1+SUM(Assumptions!$B$7:$B$8),1,SUM(Assumptions!$B$9)))</f>
        <v>0</v>
      </c>
      <c r="BF69" s="25">
        <f ca="1">SUM(OFFSET($B69,0,1+SUM(Assumptions!$B$7:$B$9),1,SUM(Assumptions!$B$10)))</f>
        <v>-70000</v>
      </c>
      <c r="BG69" s="25">
        <f ca="1">SUM(BC69:BF69)</f>
        <v>-220000</v>
      </c>
    </row>
    <row r="70" spans="1:59" ht="15" customHeight="1" x14ac:dyDescent="0.35">
      <c r="B70" s="6" t="s">
        <v>76</v>
      </c>
      <c r="C70" s="54">
        <f t="shared" ref="C70:AH70" si="16">SUM(C69)</f>
        <v>0</v>
      </c>
      <c r="D70" s="54">
        <f t="shared" si="16"/>
        <v>0</v>
      </c>
      <c r="E70" s="54">
        <f t="shared" si="16"/>
        <v>0</v>
      </c>
      <c r="F70" s="54">
        <f t="shared" si="16"/>
        <v>0</v>
      </c>
      <c r="G70" s="54">
        <f t="shared" si="16"/>
        <v>0</v>
      </c>
      <c r="H70" s="54">
        <f t="shared" si="16"/>
        <v>0</v>
      </c>
      <c r="I70" s="54">
        <f t="shared" si="16"/>
        <v>0</v>
      </c>
      <c r="J70" s="54">
        <f t="shared" si="16"/>
        <v>0</v>
      </c>
      <c r="K70" s="54">
        <f t="shared" si="16"/>
        <v>0</v>
      </c>
      <c r="L70" s="54">
        <f t="shared" si="16"/>
        <v>0</v>
      </c>
      <c r="M70" s="54">
        <f t="shared" si="16"/>
        <v>0</v>
      </c>
      <c r="N70" s="54">
        <f t="shared" si="16"/>
        <v>0</v>
      </c>
      <c r="O70" s="54">
        <f t="shared" si="16"/>
        <v>-80000</v>
      </c>
      <c r="P70" s="54">
        <f t="shared" si="16"/>
        <v>-20000</v>
      </c>
      <c r="Q70" s="54">
        <f t="shared" si="16"/>
        <v>0</v>
      </c>
      <c r="R70" s="54">
        <f t="shared" si="16"/>
        <v>0</v>
      </c>
      <c r="S70" s="54">
        <f t="shared" si="16"/>
        <v>0</v>
      </c>
      <c r="T70" s="54">
        <f t="shared" si="16"/>
        <v>0</v>
      </c>
      <c r="U70" s="54">
        <f t="shared" si="16"/>
        <v>0</v>
      </c>
      <c r="V70" s="54">
        <f t="shared" si="16"/>
        <v>0</v>
      </c>
      <c r="W70" s="54">
        <f t="shared" si="16"/>
        <v>0</v>
      </c>
      <c r="X70" s="54">
        <f t="shared" si="16"/>
        <v>0</v>
      </c>
      <c r="Y70" s="54">
        <f t="shared" si="16"/>
        <v>-50000</v>
      </c>
      <c r="Z70" s="54">
        <f t="shared" si="16"/>
        <v>0</v>
      </c>
      <c r="AA70" s="54">
        <f t="shared" si="16"/>
        <v>0</v>
      </c>
      <c r="AB70" s="54">
        <f t="shared" si="16"/>
        <v>0</v>
      </c>
      <c r="AC70" s="54">
        <f t="shared" si="16"/>
        <v>0</v>
      </c>
      <c r="AD70" s="54">
        <f t="shared" si="16"/>
        <v>0</v>
      </c>
      <c r="AE70" s="54">
        <f t="shared" si="16"/>
        <v>0</v>
      </c>
      <c r="AF70" s="54">
        <f t="shared" si="16"/>
        <v>0</v>
      </c>
      <c r="AG70" s="54">
        <f t="shared" si="16"/>
        <v>0</v>
      </c>
      <c r="AH70" s="54">
        <f t="shared" si="16"/>
        <v>0</v>
      </c>
      <c r="AI70" s="54">
        <f t="shared" ref="AI70:BG70" si="17">SUM(AI69)</f>
        <v>0</v>
      </c>
      <c r="AJ70" s="54">
        <f t="shared" si="17"/>
        <v>0</v>
      </c>
      <c r="AK70" s="54">
        <f t="shared" si="17"/>
        <v>0</v>
      </c>
      <c r="AL70" s="54">
        <f t="shared" si="17"/>
        <v>0</v>
      </c>
      <c r="AM70" s="54">
        <f t="shared" si="17"/>
        <v>0</v>
      </c>
      <c r="AN70" s="54">
        <f t="shared" si="17"/>
        <v>0</v>
      </c>
      <c r="AO70" s="54">
        <f t="shared" si="17"/>
        <v>0</v>
      </c>
      <c r="AP70" s="54">
        <f t="shared" si="17"/>
        <v>0</v>
      </c>
      <c r="AQ70" s="54">
        <f t="shared" si="17"/>
        <v>0</v>
      </c>
      <c r="AR70" s="54">
        <f t="shared" si="17"/>
        <v>0</v>
      </c>
      <c r="AS70" s="54">
        <f t="shared" si="17"/>
        <v>0</v>
      </c>
      <c r="AT70" s="54">
        <f t="shared" si="17"/>
        <v>0</v>
      </c>
      <c r="AU70" s="54">
        <f t="shared" si="17"/>
        <v>0</v>
      </c>
      <c r="AV70" s="54">
        <f t="shared" si="17"/>
        <v>-70000</v>
      </c>
      <c r="AW70" s="54">
        <f t="shared" si="17"/>
        <v>0</v>
      </c>
      <c r="AX70" s="54">
        <f t="shared" si="17"/>
        <v>0</v>
      </c>
      <c r="AY70" s="54">
        <f t="shared" si="17"/>
        <v>0</v>
      </c>
      <c r="AZ70" s="54">
        <f t="shared" si="17"/>
        <v>0</v>
      </c>
      <c r="BA70" s="54">
        <f t="shared" si="17"/>
        <v>0</v>
      </c>
      <c r="BB70" s="54">
        <f t="shared" si="17"/>
        <v>0</v>
      </c>
      <c r="BC70" s="54">
        <f t="shared" ca="1" si="17"/>
        <v>-80000</v>
      </c>
      <c r="BD70" s="54">
        <f t="shared" ca="1" si="17"/>
        <v>-70000</v>
      </c>
      <c r="BE70" s="54">
        <f t="shared" ca="1" si="17"/>
        <v>0</v>
      </c>
      <c r="BF70" s="54">
        <f t="shared" ca="1" si="17"/>
        <v>-70000</v>
      </c>
      <c r="BG70" s="54">
        <f t="shared" ca="1" si="17"/>
        <v>-220000</v>
      </c>
    </row>
    <row r="71" spans="1:59" ht="15" customHeight="1" x14ac:dyDescent="0.3"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</row>
    <row r="72" spans="1:59" ht="15" customHeight="1" x14ac:dyDescent="0.35">
      <c r="B72" s="2" t="s">
        <v>77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</row>
    <row r="73" spans="1:59" ht="15" customHeight="1" x14ac:dyDescent="0.35">
      <c r="A73" s="207"/>
      <c r="B73" s="24" t="s">
        <v>78</v>
      </c>
      <c r="C73" s="25">
        <f ca="1">OFFSET(BS!$B$35,0,COLUMN(C$52)-COLUMN($B$52)+1,1,1)-OFFSET(BS!$B$35,0,COLUMN(C$52)-COLUMN($B$52),1,1)</f>
        <v>0</v>
      </c>
      <c r="D73" s="25">
        <f ca="1">OFFSET(BS!$B$35,0,COLUMN(D$52)-COLUMN($B$52)+1,1,1)-OFFSET(BS!$B$35,0,COLUMN(D$52)-COLUMN($B$52),1,1)</f>
        <v>0</v>
      </c>
      <c r="E73" s="25">
        <f ca="1">OFFSET(BS!$B$35,0,COLUMN(E$52)-COLUMN($B$52)+1,1,1)-OFFSET(BS!$B$35,0,COLUMN(E$52)-COLUMN($B$52),1,1)</f>
        <v>0</v>
      </c>
      <c r="F73" s="25">
        <f ca="1">OFFSET(BS!$B$35,0,COLUMN(F$52)-COLUMN($B$52)+1,1,1)-OFFSET(BS!$B$35,0,COLUMN(F$52)-COLUMN($B$52),1,1)</f>
        <v>0</v>
      </c>
      <c r="G73" s="25">
        <f ca="1">OFFSET(BS!$B$35,0,COLUMN(G$52)-COLUMN($B$52)+1,1,1)-OFFSET(BS!$B$35,0,COLUMN(G$52)-COLUMN($B$52),1,1)</f>
        <v>0</v>
      </c>
      <c r="H73" s="25">
        <f ca="1">OFFSET(BS!$B$35,0,COLUMN(H$52)-COLUMN($B$52)+1,1,1)-OFFSET(BS!$B$35,0,COLUMN(H$52)-COLUMN($B$52),1,1)</f>
        <v>0</v>
      </c>
      <c r="I73" s="25">
        <f ca="1">OFFSET(BS!$B$35,0,COLUMN(I$52)-COLUMN($B$52)+1,1,1)-OFFSET(BS!$B$35,0,COLUMN(I$52)-COLUMN($B$52),1,1)</f>
        <v>0</v>
      </c>
      <c r="J73" s="25">
        <f ca="1">OFFSET(BS!$B$35,0,COLUMN(J$52)-COLUMN($B$52)+1,1,1)-OFFSET(BS!$B$35,0,COLUMN(J$52)-COLUMN($B$52),1,1)</f>
        <v>0</v>
      </c>
      <c r="K73" s="25">
        <f ca="1">OFFSET(BS!$B$35,0,COLUMN(K$52)-COLUMN($B$52)+1,1,1)-OFFSET(BS!$B$35,0,COLUMN(K$52)-COLUMN($B$52),1,1)</f>
        <v>0</v>
      </c>
      <c r="L73" s="25">
        <f ca="1">OFFSET(BS!$B$35,0,COLUMN(L$52)-COLUMN($B$52)+1,1,1)-OFFSET(BS!$B$35,0,COLUMN(L$52)-COLUMN($B$52),1,1)</f>
        <v>0</v>
      </c>
      <c r="M73" s="25">
        <f ca="1">OFFSET(BS!$B$35,0,COLUMN(M$52)-COLUMN($B$52)+1,1,1)-OFFSET(BS!$B$35,0,COLUMN(M$52)-COLUMN($B$52),1,1)</f>
        <v>0</v>
      </c>
      <c r="N73" s="25">
        <f ca="1">OFFSET(BS!$B$35,0,COLUMN(N$52)-COLUMN($B$52)+1,1,1)-OFFSET(BS!$B$35,0,COLUMN(N$52)-COLUMN($B$52),1,1)</f>
        <v>0</v>
      </c>
      <c r="O73" s="25">
        <f ca="1">OFFSET(BS!$B$35,0,COLUMN(O$52)-COLUMN($B$52)+1,1,1)-OFFSET(BS!$B$35,0,COLUMN(O$52)-COLUMN($B$52),1,1)</f>
        <v>0</v>
      </c>
      <c r="P73" s="25">
        <f ca="1">OFFSET(BS!$B$35,0,COLUMN(P$52)-COLUMN($B$52)+1,1,1)-OFFSET(BS!$B$35,0,COLUMN(P$52)-COLUMN($B$52),1,1)</f>
        <v>0</v>
      </c>
      <c r="Q73" s="25">
        <f ca="1">OFFSET(BS!$B$35,0,COLUMN(Q$52)-COLUMN($B$52)+1,1,1)-OFFSET(BS!$B$35,0,COLUMN(Q$52)-COLUMN($B$52),1,1)</f>
        <v>0</v>
      </c>
      <c r="R73" s="25">
        <f ca="1">OFFSET(BS!$B$35,0,COLUMN(R$52)-COLUMN($B$52)+1,1,1)-OFFSET(BS!$B$35,0,COLUMN(R$52)-COLUMN($B$52),1,1)</f>
        <v>0</v>
      </c>
      <c r="S73" s="25">
        <f ca="1">OFFSET(BS!$B$35,0,COLUMN(S$52)-COLUMN($B$52)+1,1,1)-OFFSET(BS!$B$35,0,COLUMN(S$52)-COLUMN($B$52),1,1)</f>
        <v>0</v>
      </c>
      <c r="T73" s="25">
        <f ca="1">OFFSET(BS!$B$35,0,COLUMN(T$52)-COLUMN($B$52)+1,1,1)-OFFSET(BS!$B$35,0,COLUMN(T$52)-COLUMN($B$52),1,1)</f>
        <v>0</v>
      </c>
      <c r="U73" s="25">
        <f ca="1">OFFSET(BS!$B$35,0,COLUMN(U$52)-COLUMN($B$52)+1,1,1)-OFFSET(BS!$B$35,0,COLUMN(U$52)-COLUMN($B$52),1,1)</f>
        <v>0</v>
      </c>
      <c r="V73" s="25">
        <f ca="1">OFFSET(BS!$B$35,0,COLUMN(V$52)-COLUMN($B$52)+1,1,1)-OFFSET(BS!$B$35,0,COLUMN(V$52)-COLUMN($B$52),1,1)</f>
        <v>0</v>
      </c>
      <c r="W73" s="25">
        <f ca="1">OFFSET(BS!$B$35,0,COLUMN(W$52)-COLUMN($B$52)+1,1,1)-OFFSET(BS!$B$35,0,COLUMN(W$52)-COLUMN($B$52),1,1)</f>
        <v>0</v>
      </c>
      <c r="X73" s="25">
        <f ca="1">OFFSET(BS!$B$35,0,COLUMN(X$52)-COLUMN($B$52)+1,1,1)-OFFSET(BS!$B$35,0,COLUMN(X$52)-COLUMN($B$52),1,1)</f>
        <v>0</v>
      </c>
      <c r="Y73" s="25">
        <f ca="1">OFFSET(BS!$B$35,0,COLUMN(Y$52)-COLUMN($B$52)+1,1,1)-OFFSET(BS!$B$35,0,COLUMN(Y$52)-COLUMN($B$52),1,1)</f>
        <v>0</v>
      </c>
      <c r="Z73" s="25">
        <f ca="1">OFFSET(BS!$B$35,0,COLUMN(Z$52)-COLUMN($B$52)+1,1,1)-OFFSET(BS!$B$35,0,COLUMN(Z$52)-COLUMN($B$52),1,1)</f>
        <v>0</v>
      </c>
      <c r="AA73" s="25">
        <f ca="1">OFFSET(BS!$B$35,0,COLUMN(AA$52)-COLUMN($B$52)+1,1,1)-OFFSET(BS!$B$35,0,COLUMN(AA$52)-COLUMN($B$52),1,1)</f>
        <v>0</v>
      </c>
      <c r="AB73" s="25">
        <f ca="1">OFFSET(BS!$B$35,0,COLUMN(AB$52)-COLUMN($B$52)+1,1,1)-OFFSET(BS!$B$35,0,COLUMN(AB$52)-COLUMN($B$52),1,1)</f>
        <v>0</v>
      </c>
      <c r="AC73" s="25">
        <f ca="1">OFFSET(BS!$B$35,0,COLUMN(AC$52)-COLUMN($B$52)+1,1,1)-OFFSET(BS!$B$35,0,COLUMN(AC$52)-COLUMN($B$52),1,1)</f>
        <v>0</v>
      </c>
      <c r="AD73" s="25">
        <f ca="1">OFFSET(BS!$B$35,0,COLUMN(AD$52)-COLUMN($B$52)+1,1,1)-OFFSET(BS!$B$35,0,COLUMN(AD$52)-COLUMN($B$52),1,1)</f>
        <v>0</v>
      </c>
      <c r="AE73" s="25">
        <f ca="1">OFFSET(BS!$B$35,0,COLUMN(AE$52)-COLUMN($B$52)+1,1,1)-OFFSET(BS!$B$35,0,COLUMN(AE$52)-COLUMN($B$52),1,1)</f>
        <v>0</v>
      </c>
      <c r="AF73" s="25">
        <f ca="1">OFFSET(BS!$B$35,0,COLUMN(AF$52)-COLUMN($B$52)+1,1,1)-OFFSET(BS!$B$35,0,COLUMN(AF$52)-COLUMN($B$52),1,1)</f>
        <v>0</v>
      </c>
      <c r="AG73" s="25">
        <f ca="1">OFFSET(BS!$B$35,0,COLUMN(AG$52)-COLUMN($B$52)+1,1,1)-OFFSET(BS!$B$35,0,COLUMN(AG$52)-COLUMN($B$52),1,1)</f>
        <v>0</v>
      </c>
      <c r="AH73" s="25">
        <f ca="1">OFFSET(BS!$B$35,0,COLUMN(AH$52)-COLUMN($B$52)+1,1,1)-OFFSET(BS!$B$35,0,COLUMN(AH$52)-COLUMN($B$52),1,1)</f>
        <v>0</v>
      </c>
      <c r="AI73" s="25">
        <f ca="1">OFFSET(BS!$B$35,0,COLUMN(AI$52)-COLUMN($B$52)+1,1,1)-OFFSET(BS!$B$35,0,COLUMN(AI$52)-COLUMN($B$52),1,1)</f>
        <v>0</v>
      </c>
      <c r="AJ73" s="25">
        <f ca="1">OFFSET(BS!$B$35,0,COLUMN(AJ$52)-COLUMN($B$52)+1,1,1)-OFFSET(BS!$B$35,0,COLUMN(AJ$52)-COLUMN($B$52),1,1)</f>
        <v>0</v>
      </c>
      <c r="AK73" s="25">
        <f ca="1">OFFSET(BS!$B$35,0,COLUMN(AK$52)-COLUMN($B$52)+1,1,1)-OFFSET(BS!$B$35,0,COLUMN(AK$52)-COLUMN($B$52),1,1)</f>
        <v>0</v>
      </c>
      <c r="AL73" s="25">
        <f ca="1">OFFSET(BS!$B$35,0,COLUMN(AL$52)-COLUMN($B$52)+1,1,1)-OFFSET(BS!$B$35,0,COLUMN(AL$52)-COLUMN($B$52),1,1)</f>
        <v>0</v>
      </c>
      <c r="AM73" s="25">
        <f ca="1">OFFSET(BS!$B$35,0,COLUMN(AM$52)-COLUMN($B$52)+1,1,1)-OFFSET(BS!$B$35,0,COLUMN(AM$52)-COLUMN($B$52),1,1)</f>
        <v>0</v>
      </c>
      <c r="AN73" s="25">
        <f ca="1">OFFSET(BS!$B$35,0,COLUMN(AN$52)-COLUMN($B$52)+1,1,1)-OFFSET(BS!$B$35,0,COLUMN(AN$52)-COLUMN($B$52),1,1)</f>
        <v>0</v>
      </c>
      <c r="AO73" s="25">
        <f ca="1">OFFSET(BS!$B$35,0,COLUMN(AO$52)-COLUMN($B$52)+1,1,1)-OFFSET(BS!$B$35,0,COLUMN(AO$52)-COLUMN($B$52),1,1)</f>
        <v>0</v>
      </c>
      <c r="AP73" s="25">
        <f ca="1">OFFSET(BS!$B$35,0,COLUMN(AP$52)-COLUMN($B$52)+1,1,1)-OFFSET(BS!$B$35,0,COLUMN(AP$52)-COLUMN($B$52),1,1)</f>
        <v>0</v>
      </c>
      <c r="AQ73" s="25">
        <f ca="1">OFFSET(BS!$B$35,0,COLUMN(AQ$52)-COLUMN($B$52)+1,1,1)-OFFSET(BS!$B$35,0,COLUMN(AQ$52)-COLUMN($B$52),1,1)</f>
        <v>0</v>
      </c>
      <c r="AR73" s="25">
        <f ca="1">OFFSET(BS!$B$35,0,COLUMN(AR$52)-COLUMN($B$52)+1,1,1)-OFFSET(BS!$B$35,0,COLUMN(AR$52)-COLUMN($B$52),1,1)</f>
        <v>0</v>
      </c>
      <c r="AS73" s="25">
        <f ca="1">OFFSET(BS!$B$35,0,COLUMN(AS$52)-COLUMN($B$52)+1,1,1)-OFFSET(BS!$B$35,0,COLUMN(AS$52)-COLUMN($B$52),1,1)</f>
        <v>0</v>
      </c>
      <c r="AT73" s="25">
        <f ca="1">OFFSET(BS!$B$35,0,COLUMN(AT$52)-COLUMN($B$52)+1,1,1)-OFFSET(BS!$B$35,0,COLUMN(AT$52)-COLUMN($B$52),1,1)</f>
        <v>0</v>
      </c>
      <c r="AU73" s="25">
        <f ca="1">OFFSET(BS!$B$35,0,COLUMN(AU$52)-COLUMN($B$52)+1,1,1)-OFFSET(BS!$B$35,0,COLUMN(AU$52)-COLUMN($B$52),1,1)</f>
        <v>0</v>
      </c>
      <c r="AV73" s="25">
        <f ca="1">OFFSET(BS!$B$35,0,COLUMN(AV$52)-COLUMN($B$52)+1,1,1)-OFFSET(BS!$B$35,0,COLUMN(AV$52)-COLUMN($B$52),1,1)</f>
        <v>0</v>
      </c>
      <c r="AW73" s="25">
        <f ca="1">OFFSET(BS!$B$35,0,COLUMN(AW$52)-COLUMN($B$52)+1,1,1)-OFFSET(BS!$B$35,0,COLUMN(AW$52)-COLUMN($B$52),1,1)</f>
        <v>0</v>
      </c>
      <c r="AX73" s="25">
        <f ca="1">OFFSET(BS!$B$35,0,COLUMN(AX$52)-COLUMN($B$52)+1,1,1)-OFFSET(BS!$B$35,0,COLUMN(AX$52)-COLUMN($B$52),1,1)</f>
        <v>0</v>
      </c>
      <c r="AY73" s="25">
        <f ca="1">OFFSET(BS!$B$35,0,COLUMN(AY$52)-COLUMN($B$52)+1,1,1)-OFFSET(BS!$B$35,0,COLUMN(AY$52)-COLUMN($B$52),1,1)</f>
        <v>0</v>
      </c>
      <c r="AZ73" s="25">
        <f ca="1">OFFSET(BS!$B$35,0,COLUMN(AZ$52)-COLUMN($B$52)+1,1,1)-OFFSET(BS!$B$35,0,COLUMN(AZ$52)-COLUMN($B$52),1,1)</f>
        <v>0</v>
      </c>
      <c r="BA73" s="25">
        <f ca="1">OFFSET(BS!$B$35,0,COLUMN(BA$52)-COLUMN($B$52)+1,1,1)-OFFSET(BS!$B$35,0,COLUMN(BA$52)-COLUMN($B$52),1,1)</f>
        <v>0</v>
      </c>
      <c r="BB73" s="25">
        <f ca="1">OFFSET(BS!$B$35,0,COLUMN(BB$52)-COLUMN($B$52)+1,1,1)-OFFSET(BS!$B$35,0,COLUMN(BB$52)-COLUMN($B$52),1,1)</f>
        <v>0</v>
      </c>
      <c r="BC73" s="25">
        <f ca="1">SUM(OFFSET($B73,0,1,1,Assumptions!$B$7))</f>
        <v>0</v>
      </c>
      <c r="BD73" s="25">
        <f ca="1">SUM(OFFSET($B73,0,1+Assumptions!$B$7,1,SUM(Assumptions!$B$8)))</f>
        <v>0</v>
      </c>
      <c r="BE73" s="25">
        <f ca="1">SUM(OFFSET($B73,0,1+SUM(Assumptions!$B$7:$B$8),1,SUM(Assumptions!$B$9)))</f>
        <v>0</v>
      </c>
      <c r="BF73" s="25">
        <f ca="1">SUM(OFFSET($B73,0,1+SUM(Assumptions!$B$7:$B$9),1,SUM(Assumptions!$B$10)))</f>
        <v>0</v>
      </c>
      <c r="BG73" s="25">
        <f ca="1">SUM(BC73:BF73)</f>
        <v>0</v>
      </c>
    </row>
    <row r="74" spans="1:59" ht="15" customHeight="1" x14ac:dyDescent="0.35">
      <c r="A74" s="20"/>
      <c r="B74" s="24" t="s">
        <v>79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50000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f ca="1">SUM(OFFSET($B74,0,1,1,Assumptions!$B$7))</f>
        <v>50000</v>
      </c>
      <c r="BD74" s="25">
        <f ca="1">SUM(OFFSET($B74,0,1+Assumptions!$B$7,1,SUM(Assumptions!$B$8)))</f>
        <v>0</v>
      </c>
      <c r="BE74" s="25">
        <f ca="1">SUM(OFFSET($B74,0,1+SUM(Assumptions!$B$7:$B$8),1,SUM(Assumptions!$B$9)))</f>
        <v>0</v>
      </c>
      <c r="BF74" s="25">
        <f ca="1">SUM(OFFSET($B74,0,1+SUM(Assumptions!$B$7:$B$9),1,SUM(Assumptions!$B$10)))</f>
        <v>0</v>
      </c>
      <c r="BG74" s="25">
        <f ca="1">SUM(BC74:BF74)</f>
        <v>50000</v>
      </c>
    </row>
    <row r="75" spans="1:59" ht="15" customHeight="1" x14ac:dyDescent="0.3">
      <c r="B75" s="24" t="s">
        <v>86</v>
      </c>
      <c r="C75" s="25">
        <f ca="1">OFFSET(BS!$B$37,0,COLUMN(C$52)-COLUMN($B$52)+1,1,1)-OFFSET(BS!$B$37,0,COLUMN(C$52)-COLUMN($B$52),1,1)-C74</f>
        <v>0</v>
      </c>
      <c r="D75" s="25">
        <f ca="1">OFFSET(BS!$B$37,0,COLUMN(D$52)-COLUMN($B$52)+1,1,1)-OFFSET(BS!$B$37,0,COLUMN(D$52)-COLUMN($B$52),1,1)-D74</f>
        <v>-14584</v>
      </c>
      <c r="E75" s="25">
        <f ca="1">OFFSET(BS!$B$37,0,COLUMN(E$52)-COLUMN($B$52)+1,1,1)-OFFSET(BS!$B$37,0,COLUMN(E$52)-COLUMN($B$52),1,1)-E74</f>
        <v>0</v>
      </c>
      <c r="F75" s="25">
        <f ca="1">OFFSET(BS!$B$37,0,COLUMN(F$52)-COLUMN($B$52)+1,1,1)-OFFSET(BS!$B$37,0,COLUMN(F$52)-COLUMN($B$52),1,1)-F74</f>
        <v>0</v>
      </c>
      <c r="G75" s="25">
        <f ca="1">OFFSET(BS!$B$37,0,COLUMN(G$52)-COLUMN($B$52)+1,1,1)-OFFSET(BS!$B$37,0,COLUMN(G$52)-COLUMN($B$52),1,1)-G74</f>
        <v>0</v>
      </c>
      <c r="H75" s="25">
        <f ca="1">OFFSET(BS!$B$37,0,COLUMN(H$52)-COLUMN($B$52)+1,1,1)-OFFSET(BS!$B$37,0,COLUMN(H$52)-COLUMN($B$52),1,1)-H74</f>
        <v>-14694</v>
      </c>
      <c r="I75" s="25">
        <f ca="1">OFFSET(BS!$B$37,0,COLUMN(I$52)-COLUMN($B$52)+1,1,1)-OFFSET(BS!$B$37,0,COLUMN(I$52)-COLUMN($B$52),1,1)-I74</f>
        <v>0</v>
      </c>
      <c r="J75" s="25">
        <f ca="1">OFFSET(BS!$B$37,0,COLUMN(J$52)-COLUMN($B$52)+1,1,1)-OFFSET(BS!$B$37,0,COLUMN(J$52)-COLUMN($B$52),1,1)-J74</f>
        <v>0</v>
      </c>
      <c r="K75" s="25">
        <f ca="1">OFFSET(BS!$B$37,0,COLUMN(K$52)-COLUMN($B$52)+1,1,1)-OFFSET(BS!$B$37,0,COLUMN(K$52)-COLUMN($B$52),1,1)-K74</f>
        <v>0</v>
      </c>
      <c r="L75" s="25">
        <f ca="1">OFFSET(BS!$B$37,0,COLUMN(L$52)-COLUMN($B$52)+1,1,1)-OFFSET(BS!$B$37,0,COLUMN(L$52)-COLUMN($B$52),1,1)-L74</f>
        <v>0</v>
      </c>
      <c r="M75" s="25">
        <f ca="1">OFFSET(BS!$B$37,0,COLUMN(M$52)-COLUMN($B$52)+1,1,1)-OFFSET(BS!$B$37,0,COLUMN(M$52)-COLUMN($B$52),1,1)-M74</f>
        <v>-14804</v>
      </c>
      <c r="N75" s="25">
        <f ca="1">OFFSET(BS!$B$37,0,COLUMN(N$52)-COLUMN($B$52)+1,1,1)-OFFSET(BS!$B$37,0,COLUMN(N$52)-COLUMN($B$52),1,1)-N74</f>
        <v>0</v>
      </c>
      <c r="O75" s="25">
        <f ca="1">OFFSET(BS!$B$37,0,COLUMN(O$52)-COLUMN($B$52)+1,1,1)-OFFSET(BS!$B$37,0,COLUMN(O$52)-COLUMN($B$52),1,1)-O74</f>
        <v>0</v>
      </c>
      <c r="P75" s="25">
        <f ca="1">OFFSET(BS!$B$37,0,COLUMN(P$52)-COLUMN($B$52)+1,1,1)-OFFSET(BS!$B$37,0,COLUMN(P$52)-COLUMN($B$52),1,1)-P74</f>
        <v>0</v>
      </c>
      <c r="Q75" s="25">
        <f ca="1">OFFSET(BS!$B$37,0,COLUMN(Q$52)-COLUMN($B$52)+1,1,1)-OFFSET(BS!$B$37,0,COLUMN(Q$52)-COLUMN($B$52),1,1)-Q74</f>
        <v>-15577</v>
      </c>
      <c r="R75" s="25">
        <f ca="1">OFFSET(BS!$B$37,0,COLUMN(R$52)-COLUMN($B$52)+1,1,1)-OFFSET(BS!$B$37,0,COLUMN(R$52)-COLUMN($B$52),1,1)-R74</f>
        <v>0</v>
      </c>
      <c r="S75" s="25">
        <f ca="1">OFFSET(BS!$B$37,0,COLUMN(S$52)-COLUMN($B$52)+1,1,1)-OFFSET(BS!$B$37,0,COLUMN(S$52)-COLUMN($B$52),1,1)-S74</f>
        <v>0</v>
      </c>
      <c r="T75" s="25">
        <f ca="1">OFFSET(BS!$B$37,0,COLUMN(T$52)-COLUMN($B$52)+1,1,1)-OFFSET(BS!$B$37,0,COLUMN(T$52)-COLUMN($B$52),1,1)-T74</f>
        <v>0</v>
      </c>
      <c r="U75" s="25">
        <f ca="1">OFFSET(BS!$B$37,0,COLUMN(U$52)-COLUMN($B$52)+1,1,1)-OFFSET(BS!$B$37,0,COLUMN(U$52)-COLUMN($B$52),1,1)-U74</f>
        <v>-15695</v>
      </c>
      <c r="V75" s="25">
        <f ca="1">OFFSET(BS!$B$37,0,COLUMN(V$52)-COLUMN($B$52)+1,1,1)-OFFSET(BS!$B$37,0,COLUMN(V$52)-COLUMN($B$52),1,1)-V74</f>
        <v>0</v>
      </c>
      <c r="W75" s="25">
        <f ca="1">OFFSET(BS!$B$37,0,COLUMN(W$52)-COLUMN($B$52)+1,1,1)-OFFSET(BS!$B$37,0,COLUMN(W$52)-COLUMN($B$52),1,1)-W74</f>
        <v>0</v>
      </c>
      <c r="X75" s="25">
        <f ca="1">OFFSET(BS!$B$37,0,COLUMN(X$52)-COLUMN($B$52)+1,1,1)-OFFSET(BS!$B$37,0,COLUMN(X$52)-COLUMN($B$52),1,1)-X74</f>
        <v>0</v>
      </c>
      <c r="Y75" s="25">
        <f ca="1">OFFSET(BS!$B$37,0,COLUMN(Y$52)-COLUMN($B$52)+1,1,1)-OFFSET(BS!$B$37,0,COLUMN(Y$52)-COLUMN($B$52),1,1)-Y74</f>
        <v>0</v>
      </c>
      <c r="Z75" s="25">
        <f ca="1">OFFSET(BS!$B$37,0,COLUMN(Z$52)-COLUMN($B$52)+1,1,1)-OFFSET(BS!$B$37,0,COLUMN(Z$52)-COLUMN($B$52),1,1)-Z74</f>
        <v>-15812</v>
      </c>
      <c r="AA75" s="25">
        <f ca="1">OFFSET(BS!$B$37,0,COLUMN(AA$52)-COLUMN($B$52)+1,1,1)-OFFSET(BS!$B$37,0,COLUMN(AA$52)-COLUMN($B$52),1,1)-AA74</f>
        <v>0</v>
      </c>
      <c r="AB75" s="25">
        <f ca="1">OFFSET(BS!$B$37,0,COLUMN(AB$52)-COLUMN($B$52)+1,1,1)-OFFSET(BS!$B$37,0,COLUMN(AB$52)-COLUMN($B$52),1,1)-AB74</f>
        <v>0</v>
      </c>
      <c r="AC75" s="25">
        <f ca="1">OFFSET(BS!$B$37,0,COLUMN(AC$52)-COLUMN($B$52)+1,1,1)-OFFSET(BS!$B$37,0,COLUMN(AC$52)-COLUMN($B$52),1,1)-AC74</f>
        <v>0</v>
      </c>
      <c r="AD75" s="25">
        <f ca="1">OFFSET(BS!$B$37,0,COLUMN(AD$52)-COLUMN($B$52)+1,1,1)-OFFSET(BS!$B$37,0,COLUMN(AD$52)-COLUMN($B$52),1,1)-AD74</f>
        <v>-15931</v>
      </c>
      <c r="AE75" s="25">
        <f ca="1">OFFSET(BS!$B$37,0,COLUMN(AE$52)-COLUMN($B$52)+1,1,1)-OFFSET(BS!$B$37,0,COLUMN(AE$52)-COLUMN($B$52),1,1)-AE74</f>
        <v>0</v>
      </c>
      <c r="AF75" s="25">
        <f ca="1">OFFSET(BS!$B$37,0,COLUMN(AF$52)-COLUMN($B$52)+1,1,1)-OFFSET(BS!$B$37,0,COLUMN(AF$52)-COLUMN($B$52),1,1)-AF74</f>
        <v>0</v>
      </c>
      <c r="AG75" s="25">
        <f ca="1">OFFSET(BS!$B$37,0,COLUMN(AG$52)-COLUMN($B$52)+1,1,1)-OFFSET(BS!$B$37,0,COLUMN(AG$52)-COLUMN($B$52),1,1)-AG74</f>
        <v>0</v>
      </c>
      <c r="AH75" s="25">
        <f ca="1">OFFSET(BS!$B$37,0,COLUMN(AH$52)-COLUMN($B$52)+1,1,1)-OFFSET(BS!$B$37,0,COLUMN(AH$52)-COLUMN($B$52),1,1)-AH74</f>
        <v>-16050</v>
      </c>
      <c r="AI75" s="25">
        <f ca="1">OFFSET(BS!$B$37,0,COLUMN(AI$52)-COLUMN($B$52)+1,1,1)-OFFSET(BS!$B$37,0,COLUMN(AI$52)-COLUMN($B$52),1,1)-AI74</f>
        <v>0</v>
      </c>
      <c r="AJ75" s="25">
        <f ca="1">OFFSET(BS!$B$37,0,COLUMN(AJ$52)-COLUMN($B$52)+1,1,1)-OFFSET(BS!$B$37,0,COLUMN(AJ$52)-COLUMN($B$52),1,1)-AJ74</f>
        <v>0</v>
      </c>
      <c r="AK75" s="25">
        <f ca="1">OFFSET(BS!$B$37,0,COLUMN(AK$52)-COLUMN($B$52)+1,1,1)-OFFSET(BS!$B$37,0,COLUMN(AK$52)-COLUMN($B$52),1,1)-AK74</f>
        <v>0</v>
      </c>
      <c r="AL75" s="25">
        <f ca="1">OFFSET(BS!$B$37,0,COLUMN(AL$52)-COLUMN($B$52)+1,1,1)-OFFSET(BS!$B$37,0,COLUMN(AL$52)-COLUMN($B$52),1,1)-AL74</f>
        <v>0</v>
      </c>
      <c r="AM75" s="25">
        <f ca="1">OFFSET(BS!$B$37,0,COLUMN(AM$52)-COLUMN($B$52)+1,1,1)-OFFSET(BS!$B$37,0,COLUMN(AM$52)-COLUMN($B$52),1,1)-AM74</f>
        <v>-16171</v>
      </c>
      <c r="AN75" s="25">
        <f ca="1">OFFSET(BS!$B$37,0,COLUMN(AN$52)-COLUMN($B$52)+1,1,1)-OFFSET(BS!$B$37,0,COLUMN(AN$52)-COLUMN($B$52),1,1)-AN74</f>
        <v>0</v>
      </c>
      <c r="AO75" s="25">
        <f ca="1">OFFSET(BS!$B$37,0,COLUMN(AO$52)-COLUMN($B$52)+1,1,1)-OFFSET(BS!$B$37,0,COLUMN(AO$52)-COLUMN($B$52),1,1)-AO74</f>
        <v>0</v>
      </c>
      <c r="AP75" s="25">
        <f ca="1">OFFSET(BS!$B$37,0,COLUMN(AP$52)-COLUMN($B$52)+1,1,1)-OFFSET(BS!$B$37,0,COLUMN(AP$52)-COLUMN($B$52),1,1)-AP74</f>
        <v>0</v>
      </c>
      <c r="AQ75" s="25">
        <f ca="1">OFFSET(BS!$B$37,0,COLUMN(AQ$52)-COLUMN($B$52)+1,1,1)-OFFSET(BS!$B$37,0,COLUMN(AQ$52)-COLUMN($B$52),1,1)-AQ74</f>
        <v>-16292</v>
      </c>
      <c r="AR75" s="25">
        <f ca="1">OFFSET(BS!$B$37,0,COLUMN(AR$52)-COLUMN($B$52)+1,1,1)-OFFSET(BS!$B$37,0,COLUMN(AR$52)-COLUMN($B$52),1,1)-AR74</f>
        <v>0</v>
      </c>
      <c r="AS75" s="25">
        <f ca="1">OFFSET(BS!$B$37,0,COLUMN(AS$52)-COLUMN($B$52)+1,1,1)-OFFSET(BS!$B$37,0,COLUMN(AS$52)-COLUMN($B$52),1,1)-AS74</f>
        <v>0</v>
      </c>
      <c r="AT75" s="25">
        <f ca="1">OFFSET(BS!$B$37,0,COLUMN(AT$52)-COLUMN($B$52)+1,1,1)-OFFSET(BS!$B$37,0,COLUMN(AT$52)-COLUMN($B$52),1,1)-AT74</f>
        <v>0</v>
      </c>
      <c r="AU75" s="25">
        <f ca="1">OFFSET(BS!$B$37,0,COLUMN(AU$52)-COLUMN($B$52)+1,1,1)-OFFSET(BS!$B$37,0,COLUMN(AU$52)-COLUMN($B$52),1,1)-AU74</f>
        <v>0</v>
      </c>
      <c r="AV75" s="25">
        <f ca="1">OFFSET(BS!$B$37,0,COLUMN(AV$52)-COLUMN($B$52)+1,1,1)-OFFSET(BS!$B$37,0,COLUMN(AV$52)-COLUMN($B$52),1,1)-AV74</f>
        <v>-16414</v>
      </c>
      <c r="AW75" s="25">
        <f ca="1">OFFSET(BS!$B$37,0,COLUMN(AW$52)-COLUMN($B$52)+1,1,1)-OFFSET(BS!$B$37,0,COLUMN(AW$52)-COLUMN($B$52),1,1)-AW74</f>
        <v>0</v>
      </c>
      <c r="AX75" s="25">
        <f ca="1">OFFSET(BS!$B$37,0,COLUMN(AX$52)-COLUMN($B$52)+1,1,1)-OFFSET(BS!$B$37,0,COLUMN(AX$52)-COLUMN($B$52),1,1)-AX74</f>
        <v>0</v>
      </c>
      <c r="AY75" s="25">
        <f ca="1">OFFSET(BS!$B$37,0,COLUMN(AY$52)-COLUMN($B$52)+1,1,1)-OFFSET(BS!$B$37,0,COLUMN(AY$52)-COLUMN($B$52),1,1)-AY74</f>
        <v>0</v>
      </c>
      <c r="AZ75" s="25">
        <f ca="1">OFFSET(BS!$B$37,0,COLUMN(AZ$52)-COLUMN($B$52)+1,1,1)-OFFSET(BS!$B$37,0,COLUMN(AZ$52)-COLUMN($B$52),1,1)-AZ74</f>
        <v>-16537</v>
      </c>
      <c r="BA75" s="25">
        <f ca="1">OFFSET(BS!$B$37,0,COLUMN(BA$52)-COLUMN($B$52)+1,1,1)-OFFSET(BS!$B$37,0,COLUMN(BA$52)-COLUMN($B$52),1,1)-BA74</f>
        <v>0</v>
      </c>
      <c r="BB75" s="25">
        <f ca="1">OFFSET(BS!$B$37,0,COLUMN(BB$52)-COLUMN($B$52)+1,1,1)-OFFSET(BS!$B$37,0,COLUMN(BB$52)-COLUMN($B$52),1,1)-BB74</f>
        <v>0</v>
      </c>
      <c r="BC75" s="25">
        <f ca="1">SUM(OFFSET($B75,0,1,1,Assumptions!$B$7))</f>
        <v>-44082</v>
      </c>
      <c r="BD75" s="25">
        <f ca="1">SUM(OFFSET($B75,0,1+Assumptions!$B$7,1,SUM(Assumptions!$B$8)))</f>
        <v>-47084</v>
      </c>
      <c r="BE75" s="25">
        <f ca="1">SUM(OFFSET($B75,0,1+SUM(Assumptions!$B$7:$B$8),1,SUM(Assumptions!$B$9)))</f>
        <v>-48152</v>
      </c>
      <c r="BF75" s="25">
        <f ca="1">SUM(OFFSET($B75,0,1+SUM(Assumptions!$B$7:$B$9),1,SUM(Assumptions!$B$10)))</f>
        <v>-49243</v>
      </c>
      <c r="BG75" s="25">
        <f ca="1">SUM(BC75:BF75)</f>
        <v>-188561</v>
      </c>
    </row>
    <row r="76" spans="1:59" ht="15" customHeight="1" x14ac:dyDescent="0.35">
      <c r="B76" s="55" t="s">
        <v>80</v>
      </c>
      <c r="C76" s="54">
        <f t="shared" ref="C76:AH76" ca="1" si="18">SUM(C73:C75)</f>
        <v>0</v>
      </c>
      <c r="D76" s="54">
        <f t="shared" ca="1" si="18"/>
        <v>-14584</v>
      </c>
      <c r="E76" s="54">
        <f t="shared" ca="1" si="18"/>
        <v>0</v>
      </c>
      <c r="F76" s="54">
        <f t="shared" ca="1" si="18"/>
        <v>0</v>
      </c>
      <c r="G76" s="54">
        <f t="shared" ca="1" si="18"/>
        <v>0</v>
      </c>
      <c r="H76" s="54">
        <f t="shared" ca="1" si="18"/>
        <v>-14694</v>
      </c>
      <c r="I76" s="54">
        <f t="shared" ca="1" si="18"/>
        <v>0</v>
      </c>
      <c r="J76" s="54">
        <f t="shared" ca="1" si="18"/>
        <v>0</v>
      </c>
      <c r="K76" s="54">
        <f t="shared" ca="1" si="18"/>
        <v>0</v>
      </c>
      <c r="L76" s="54">
        <f t="shared" ca="1" si="18"/>
        <v>0</v>
      </c>
      <c r="M76" s="54">
        <f t="shared" ca="1" si="18"/>
        <v>-14804</v>
      </c>
      <c r="N76" s="54">
        <f t="shared" ca="1" si="18"/>
        <v>0</v>
      </c>
      <c r="O76" s="54">
        <f t="shared" ca="1" si="18"/>
        <v>50000</v>
      </c>
      <c r="P76" s="54">
        <f t="shared" ca="1" si="18"/>
        <v>0</v>
      </c>
      <c r="Q76" s="54">
        <f t="shared" ca="1" si="18"/>
        <v>-15577</v>
      </c>
      <c r="R76" s="54">
        <f t="shared" ca="1" si="18"/>
        <v>0</v>
      </c>
      <c r="S76" s="54">
        <f t="shared" ca="1" si="18"/>
        <v>0</v>
      </c>
      <c r="T76" s="54">
        <f t="shared" ca="1" si="18"/>
        <v>0</v>
      </c>
      <c r="U76" s="54">
        <f t="shared" ca="1" si="18"/>
        <v>-15695</v>
      </c>
      <c r="V76" s="54">
        <f t="shared" ca="1" si="18"/>
        <v>0</v>
      </c>
      <c r="W76" s="54">
        <f t="shared" ca="1" si="18"/>
        <v>0</v>
      </c>
      <c r="X76" s="54">
        <f t="shared" ca="1" si="18"/>
        <v>0</v>
      </c>
      <c r="Y76" s="54">
        <f t="shared" ca="1" si="18"/>
        <v>0</v>
      </c>
      <c r="Z76" s="54">
        <f t="shared" ca="1" si="18"/>
        <v>-15812</v>
      </c>
      <c r="AA76" s="54">
        <f t="shared" ca="1" si="18"/>
        <v>0</v>
      </c>
      <c r="AB76" s="54">
        <f t="shared" ca="1" si="18"/>
        <v>0</v>
      </c>
      <c r="AC76" s="54">
        <f t="shared" ca="1" si="18"/>
        <v>0</v>
      </c>
      <c r="AD76" s="54">
        <f t="shared" ca="1" si="18"/>
        <v>-15931</v>
      </c>
      <c r="AE76" s="54">
        <f t="shared" ca="1" si="18"/>
        <v>0</v>
      </c>
      <c r="AF76" s="54">
        <f t="shared" ca="1" si="18"/>
        <v>0</v>
      </c>
      <c r="AG76" s="54">
        <f t="shared" ca="1" si="18"/>
        <v>0</v>
      </c>
      <c r="AH76" s="54">
        <f t="shared" ca="1" si="18"/>
        <v>-16050</v>
      </c>
      <c r="AI76" s="54">
        <f t="shared" ref="AI76:BG76" ca="1" si="19">SUM(AI73:AI75)</f>
        <v>0</v>
      </c>
      <c r="AJ76" s="54">
        <f t="shared" ca="1" si="19"/>
        <v>0</v>
      </c>
      <c r="AK76" s="54">
        <f t="shared" ca="1" si="19"/>
        <v>0</v>
      </c>
      <c r="AL76" s="54">
        <f t="shared" ca="1" si="19"/>
        <v>0</v>
      </c>
      <c r="AM76" s="54">
        <f t="shared" ca="1" si="19"/>
        <v>-16171</v>
      </c>
      <c r="AN76" s="54">
        <f t="shared" ca="1" si="19"/>
        <v>0</v>
      </c>
      <c r="AO76" s="54">
        <f t="shared" ca="1" si="19"/>
        <v>0</v>
      </c>
      <c r="AP76" s="54">
        <f t="shared" ca="1" si="19"/>
        <v>0</v>
      </c>
      <c r="AQ76" s="54">
        <f t="shared" ca="1" si="19"/>
        <v>-16292</v>
      </c>
      <c r="AR76" s="54">
        <f t="shared" ca="1" si="19"/>
        <v>0</v>
      </c>
      <c r="AS76" s="54">
        <f t="shared" ca="1" si="19"/>
        <v>0</v>
      </c>
      <c r="AT76" s="54">
        <f t="shared" ca="1" si="19"/>
        <v>0</v>
      </c>
      <c r="AU76" s="54">
        <f t="shared" ca="1" si="19"/>
        <v>0</v>
      </c>
      <c r="AV76" s="54">
        <f t="shared" ca="1" si="19"/>
        <v>-16414</v>
      </c>
      <c r="AW76" s="54">
        <f t="shared" ca="1" si="19"/>
        <v>0</v>
      </c>
      <c r="AX76" s="54">
        <f t="shared" ca="1" si="19"/>
        <v>0</v>
      </c>
      <c r="AY76" s="54">
        <f t="shared" ca="1" si="19"/>
        <v>0</v>
      </c>
      <c r="AZ76" s="54">
        <f t="shared" ca="1" si="19"/>
        <v>-16537</v>
      </c>
      <c r="BA76" s="54">
        <f t="shared" ca="1" si="19"/>
        <v>0</v>
      </c>
      <c r="BB76" s="54">
        <f t="shared" ca="1" si="19"/>
        <v>0</v>
      </c>
      <c r="BC76" s="54">
        <f t="shared" ca="1" si="19"/>
        <v>5918</v>
      </c>
      <c r="BD76" s="54">
        <f t="shared" ca="1" si="19"/>
        <v>-47084</v>
      </c>
      <c r="BE76" s="54">
        <f t="shared" ca="1" si="19"/>
        <v>-48152</v>
      </c>
      <c r="BF76" s="54">
        <f t="shared" ca="1" si="19"/>
        <v>-49243</v>
      </c>
      <c r="BG76" s="54">
        <f t="shared" ca="1" si="19"/>
        <v>-138561</v>
      </c>
    </row>
    <row r="77" spans="1:59" ht="15" customHeight="1" x14ac:dyDescent="0.3">
      <c r="C77" s="25"/>
      <c r="D77" s="25"/>
      <c r="E77" s="25"/>
      <c r="F77" s="25"/>
      <c r="G77" s="25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</row>
    <row r="78" spans="1:59" ht="15" customHeight="1" x14ac:dyDescent="0.3">
      <c r="B78" s="7" t="s">
        <v>81</v>
      </c>
      <c r="C78" s="25">
        <f t="shared" ref="C78:AH78" ca="1" si="20">SUM(C66,C70,C76)</f>
        <v>-65200</v>
      </c>
      <c r="D78" s="25">
        <f t="shared" ca="1" si="20"/>
        <v>-4809</v>
      </c>
      <c r="E78" s="25">
        <f t="shared" ca="1" si="20"/>
        <v>-10265</v>
      </c>
      <c r="F78" s="25">
        <f t="shared" ca="1" si="20"/>
        <v>31525</v>
      </c>
      <c r="G78" s="25">
        <f t="shared" ca="1" si="20"/>
        <v>19651</v>
      </c>
      <c r="H78" s="25">
        <f t="shared" ca="1" si="20"/>
        <v>-19146</v>
      </c>
      <c r="I78" s="25">
        <f t="shared" ca="1" si="20"/>
        <v>9704</v>
      </c>
      <c r="J78" s="25">
        <f t="shared" ca="1" si="20"/>
        <v>9520</v>
      </c>
      <c r="K78" s="25">
        <f t="shared" ca="1" si="20"/>
        <v>23877</v>
      </c>
      <c r="L78" s="25">
        <f t="shared" ca="1" si="20"/>
        <v>4180</v>
      </c>
      <c r="M78" s="25">
        <f t="shared" ca="1" si="20"/>
        <v>-27170</v>
      </c>
      <c r="N78" s="25">
        <f t="shared" ca="1" si="20"/>
        <v>1240</v>
      </c>
      <c r="O78" s="25">
        <f t="shared" ca="1" si="20"/>
        <v>-4924</v>
      </c>
      <c r="P78" s="25">
        <f t="shared" ca="1" si="20"/>
        <v>4070</v>
      </c>
      <c r="Q78" s="25">
        <f t="shared" ca="1" si="20"/>
        <v>-20762</v>
      </c>
      <c r="R78" s="25">
        <f t="shared" ca="1" si="20"/>
        <v>1952.5</v>
      </c>
      <c r="S78" s="25">
        <f t="shared" ca="1" si="20"/>
        <v>11108.2</v>
      </c>
      <c r="T78" s="25">
        <f t="shared" ca="1" si="20"/>
        <v>30514</v>
      </c>
      <c r="U78" s="25">
        <f t="shared" ca="1" si="20"/>
        <v>-7331.0999999999985</v>
      </c>
      <c r="V78" s="25">
        <f t="shared" ca="1" si="20"/>
        <v>12040</v>
      </c>
      <c r="W78" s="25">
        <f t="shared" ca="1" si="20"/>
        <v>5058</v>
      </c>
      <c r="X78" s="25">
        <f t="shared" ca="1" si="20"/>
        <v>13482.55</v>
      </c>
      <c r="Y78" s="25">
        <f t="shared" ca="1" si="20"/>
        <v>-36057.339999999997</v>
      </c>
      <c r="Z78" s="25">
        <f t="shared" ca="1" si="20"/>
        <v>-12124.080000000002</v>
      </c>
      <c r="AA78" s="25">
        <f t="shared" ca="1" si="20"/>
        <v>16640</v>
      </c>
      <c r="AB78" s="25">
        <f t="shared" ca="1" si="20"/>
        <v>-60644.884399999995</v>
      </c>
      <c r="AC78" s="25">
        <f t="shared" ca="1" si="20"/>
        <v>17932.400000000001</v>
      </c>
      <c r="AD78" s="25">
        <f t="shared" ca="1" si="20"/>
        <v>-14632</v>
      </c>
      <c r="AE78" s="25">
        <f t="shared" ca="1" si="20"/>
        <v>14942</v>
      </c>
      <c r="AF78" s="25">
        <f t="shared" ca="1" si="20"/>
        <v>19702.800000000003</v>
      </c>
      <c r="AG78" s="25">
        <f t="shared" ca="1" si="20"/>
        <v>10068.599999999999</v>
      </c>
      <c r="AH78" s="25">
        <f t="shared" ca="1" si="20"/>
        <v>-10291.599999999999</v>
      </c>
      <c r="AI78" s="25">
        <f t="shared" ref="AI78:BG78" ca="1" si="21">SUM(AI66,AI70,AI76)</f>
        <v>18542.200000000004</v>
      </c>
      <c r="AJ78" s="25">
        <f t="shared" ca="1" si="21"/>
        <v>9920.8000000000029</v>
      </c>
      <c r="AK78" s="25">
        <f t="shared" ca="1" si="21"/>
        <v>35345.700000000004</v>
      </c>
      <c r="AL78" s="25">
        <f t="shared" ca="1" si="21"/>
        <v>35573</v>
      </c>
      <c r="AM78" s="25">
        <f t="shared" ca="1" si="21"/>
        <v>-14270.400000000001</v>
      </c>
      <c r="AN78" s="25">
        <f t="shared" ca="1" si="21"/>
        <v>16028.36</v>
      </c>
      <c r="AO78" s="25">
        <f t="shared" ca="1" si="21"/>
        <v>37587.919999999998</v>
      </c>
      <c r="AP78" s="25">
        <f t="shared" ca="1" si="21"/>
        <v>41198.58</v>
      </c>
      <c r="AQ78" s="25">
        <f t="shared" ca="1" si="21"/>
        <v>3591</v>
      </c>
      <c r="AR78" s="25">
        <f t="shared" ca="1" si="21"/>
        <v>49090.5</v>
      </c>
      <c r="AS78" s="25">
        <f t="shared" ca="1" si="21"/>
        <v>39731.5</v>
      </c>
      <c r="AT78" s="25">
        <f t="shared" ca="1" si="21"/>
        <v>42420</v>
      </c>
      <c r="AU78" s="25">
        <f t="shared" ca="1" si="21"/>
        <v>49880.5</v>
      </c>
      <c r="AV78" s="25">
        <f t="shared" ca="1" si="21"/>
        <v>-80677.5</v>
      </c>
      <c r="AW78" s="25">
        <f t="shared" ca="1" si="21"/>
        <v>-7559.0999999999985</v>
      </c>
      <c r="AX78" s="25">
        <f t="shared" ca="1" si="21"/>
        <v>-31188.100000000006</v>
      </c>
      <c r="AY78" s="25">
        <f t="shared" ca="1" si="21"/>
        <v>-42479</v>
      </c>
      <c r="AZ78" s="25">
        <f t="shared" ca="1" si="21"/>
        <v>-44482.5</v>
      </c>
      <c r="BA78" s="25">
        <f t="shared" ca="1" si="21"/>
        <v>19025.5</v>
      </c>
      <c r="BB78" s="25">
        <f t="shared" ca="1" si="21"/>
        <v>-79013.100800000015</v>
      </c>
      <c r="BC78" s="25">
        <f t="shared" ca="1" si="21"/>
        <v>-31817</v>
      </c>
      <c r="BD78" s="25">
        <f t="shared" ca="1" si="21"/>
        <v>-42054.154399999985</v>
      </c>
      <c r="BE78" s="25">
        <f t="shared" ca="1" si="21"/>
        <v>176449.78000000003</v>
      </c>
      <c r="BF78" s="25">
        <f t="shared" ca="1" si="21"/>
        <v>-40461.720799999996</v>
      </c>
      <c r="BG78" s="25">
        <f t="shared" ca="1" si="21"/>
        <v>62116.904800000077</v>
      </c>
    </row>
    <row r="79" spans="1:59" ht="15" customHeight="1" x14ac:dyDescent="0.3">
      <c r="C79" s="25"/>
      <c r="D79" s="25"/>
      <c r="E79" s="25"/>
      <c r="F79" s="25"/>
      <c r="G79" s="25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</row>
    <row r="80" spans="1:59" ht="15" customHeight="1" x14ac:dyDescent="0.3">
      <c r="B80" s="7" t="s">
        <v>82</v>
      </c>
      <c r="C80" s="25">
        <f ca="1">OFFSET(BS!$B$32,0,COLUMN(C$52)-COLUMN($B$52),1,1)</f>
        <v>21000</v>
      </c>
      <c r="D80" s="25">
        <f ca="1">OFFSET(BS!$B$32,0,COLUMN(D$52)-COLUMN($B$52),1,1)</f>
        <v>-44200</v>
      </c>
      <c r="E80" s="25">
        <f ca="1">OFFSET(BS!$B$32,0,COLUMN(E$52)-COLUMN($B$52),1,1)</f>
        <v>-49009</v>
      </c>
      <c r="F80" s="25">
        <f ca="1">OFFSET(BS!$B$32,0,COLUMN(F$52)-COLUMN($B$52),1,1)</f>
        <v>-59274</v>
      </c>
      <c r="G80" s="25">
        <f ca="1">OFFSET(BS!$B$32,0,COLUMN(G$52)-COLUMN($B$52),1,1)</f>
        <v>-27749</v>
      </c>
      <c r="H80" s="25">
        <f ca="1">OFFSET(BS!$B$32,0,COLUMN(H$52)-COLUMN($B$52),1,1)</f>
        <v>-8098</v>
      </c>
      <c r="I80" s="25">
        <f ca="1">OFFSET(BS!$B$32,0,COLUMN(I$52)-COLUMN($B$52),1,1)</f>
        <v>-27244</v>
      </c>
      <c r="J80" s="25">
        <f ca="1">OFFSET(BS!$B$32,0,COLUMN(J$52)-COLUMN($B$52),1,1)</f>
        <v>-17540</v>
      </c>
      <c r="K80" s="25">
        <f ca="1">OFFSET(BS!$B$32,0,COLUMN(K$52)-COLUMN($B$52),1,1)</f>
        <v>-8020</v>
      </c>
      <c r="L80" s="25">
        <f ca="1">OFFSET(BS!$B$32,0,COLUMN(L$52)-COLUMN($B$52),1,1)</f>
        <v>15857</v>
      </c>
      <c r="M80" s="25">
        <f ca="1">OFFSET(BS!$B$32,0,COLUMN(M$52)-COLUMN($B$52),1,1)</f>
        <v>20037</v>
      </c>
      <c r="N80" s="25">
        <f ca="1">OFFSET(BS!$B$32,0,COLUMN(N$52)-COLUMN($B$52),1,1)</f>
        <v>-7133</v>
      </c>
      <c r="O80" s="25">
        <f ca="1">OFFSET(BS!$B$32,0,COLUMN(O$52)-COLUMN($B$52),1,1)</f>
        <v>-5893</v>
      </c>
      <c r="P80" s="25">
        <f ca="1">OFFSET(BS!$B$32,0,COLUMN(P$52)-COLUMN($B$52),1,1)</f>
        <v>-10817</v>
      </c>
      <c r="Q80" s="25">
        <f ca="1">OFFSET(BS!$B$32,0,COLUMN(Q$52)-COLUMN($B$52),1,1)</f>
        <v>-6747</v>
      </c>
      <c r="R80" s="25">
        <f ca="1">OFFSET(BS!$B$32,0,COLUMN(R$52)-COLUMN($B$52),1,1)</f>
        <v>-27509</v>
      </c>
      <c r="S80" s="25">
        <f ca="1">OFFSET(BS!$B$32,0,COLUMN(S$52)-COLUMN($B$52),1,1)</f>
        <v>-25556.5</v>
      </c>
      <c r="T80" s="25">
        <f ca="1">OFFSET(BS!$B$32,0,COLUMN(T$52)-COLUMN($B$52),1,1)</f>
        <v>-14448.3</v>
      </c>
      <c r="U80" s="25">
        <f ca="1">OFFSET(BS!$B$32,0,COLUMN(U$52)-COLUMN($B$52),1,1)</f>
        <v>16065.7</v>
      </c>
      <c r="V80" s="25">
        <f ca="1">OFFSET(BS!$B$32,0,COLUMN(V$52)-COLUMN($B$52),1,1)</f>
        <v>8734.6000000000022</v>
      </c>
      <c r="W80" s="25">
        <f ca="1">OFFSET(BS!$B$32,0,COLUMN(W$52)-COLUMN($B$52),1,1)</f>
        <v>20774.600000000002</v>
      </c>
      <c r="X80" s="25">
        <f ca="1">OFFSET(BS!$B$32,0,COLUMN(X$52)-COLUMN($B$52),1,1)</f>
        <v>25832.600000000002</v>
      </c>
      <c r="Y80" s="25">
        <f ca="1">OFFSET(BS!$B$32,0,COLUMN(Y$52)-COLUMN($B$52),1,1)</f>
        <v>39315.15</v>
      </c>
      <c r="Z80" s="25">
        <f ca="1">OFFSET(BS!$B$32,0,COLUMN(Z$52)-COLUMN($B$52),1,1)</f>
        <v>3257.8100000000049</v>
      </c>
      <c r="AA80" s="25">
        <f ca="1">OFFSET(BS!$B$32,0,COLUMN(AA$52)-COLUMN($B$52),1,1)</f>
        <v>-8866.2699999999968</v>
      </c>
      <c r="AB80" s="25">
        <f ca="1">OFFSET(BS!$B$32,0,COLUMN(AB$52)-COLUMN($B$52),1,1)</f>
        <v>7773.7300000000032</v>
      </c>
      <c r="AC80" s="25">
        <f ca="1">OFFSET(BS!$B$32,0,COLUMN(AC$52)-COLUMN($B$52),1,1)</f>
        <v>-52871.154399999992</v>
      </c>
      <c r="AD80" s="25">
        <f ca="1">OFFSET(BS!$B$32,0,COLUMN(AD$52)-COLUMN($B$52),1,1)</f>
        <v>-34938.754399999991</v>
      </c>
      <c r="AE80" s="25">
        <f ca="1">OFFSET(BS!$B$32,0,COLUMN(AE$52)-COLUMN($B$52),1,1)</f>
        <v>-49570.754399999991</v>
      </c>
      <c r="AF80" s="25">
        <f ca="1">OFFSET(BS!$B$32,0,COLUMN(AF$52)-COLUMN($B$52),1,1)</f>
        <v>-34628.754399999991</v>
      </c>
      <c r="AG80" s="25">
        <f ca="1">OFFSET(BS!$B$32,0,COLUMN(AG$52)-COLUMN($B$52),1,1)</f>
        <v>-14925.954399999988</v>
      </c>
      <c r="AH80" s="25">
        <f ca="1">OFFSET(BS!$B$32,0,COLUMN(AH$52)-COLUMN($B$52),1,1)</f>
        <v>-4857.3543999999893</v>
      </c>
      <c r="AI80" s="25">
        <f ca="1">OFFSET(BS!$B$32,0,COLUMN(AI$52)-COLUMN($B$52),1,1)</f>
        <v>-15148.954399999988</v>
      </c>
      <c r="AJ80" s="25">
        <f ca="1">OFFSET(BS!$B$32,0,COLUMN(AJ$52)-COLUMN($B$52),1,1)</f>
        <v>3393.2456000000166</v>
      </c>
      <c r="AK80" s="25">
        <f ca="1">OFFSET(BS!$B$32,0,COLUMN(AK$52)-COLUMN($B$52),1,1)</f>
        <v>13314.045600000019</v>
      </c>
      <c r="AL80" s="25">
        <f ca="1">OFFSET(BS!$B$32,0,COLUMN(AL$52)-COLUMN($B$52),1,1)</f>
        <v>48659.745600000024</v>
      </c>
      <c r="AM80" s="25">
        <f ca="1">OFFSET(BS!$B$32,0,COLUMN(AM$52)-COLUMN($B$52),1,1)</f>
        <v>84232.745600000024</v>
      </c>
      <c r="AN80" s="25">
        <f ca="1">OFFSET(BS!$B$32,0,COLUMN(AN$52)-COLUMN($B$52),1,1)</f>
        <v>69962.34560000003</v>
      </c>
      <c r="AO80" s="25">
        <f ca="1">OFFSET(BS!$B$32,0,COLUMN(AO$52)-COLUMN($B$52),1,1)</f>
        <v>85990.70560000003</v>
      </c>
      <c r="AP80" s="25">
        <f ca="1">OFFSET(BS!$B$32,0,COLUMN(AP$52)-COLUMN($B$52),1,1)</f>
        <v>123578.62560000003</v>
      </c>
      <c r="AQ80" s="25">
        <f ca="1">OFFSET(BS!$B$32,0,COLUMN(AQ$52)-COLUMN($B$52),1,1)</f>
        <v>164777.20560000004</v>
      </c>
      <c r="AR80" s="25">
        <f ca="1">OFFSET(BS!$B$32,0,COLUMN(AR$52)-COLUMN($B$52),1,1)</f>
        <v>168368.20560000004</v>
      </c>
      <c r="AS80" s="25">
        <f ca="1">OFFSET(BS!$B$32,0,COLUMN(AS$52)-COLUMN($B$52),1,1)</f>
        <v>217458.70560000004</v>
      </c>
      <c r="AT80" s="25">
        <f ca="1">OFFSET(BS!$B$32,0,COLUMN(AT$52)-COLUMN($B$52),1,1)</f>
        <v>257190.20560000004</v>
      </c>
      <c r="AU80" s="25">
        <f ca="1">OFFSET(BS!$B$32,0,COLUMN(AU$52)-COLUMN($B$52),1,1)</f>
        <v>299610.20560000004</v>
      </c>
      <c r="AV80" s="25">
        <f ca="1">OFFSET(BS!$B$32,0,COLUMN(AV$52)-COLUMN($B$52),1,1)</f>
        <v>349490.70560000004</v>
      </c>
      <c r="AW80" s="25">
        <f ca="1">OFFSET(BS!$B$32,0,COLUMN(AW$52)-COLUMN($B$52),1,1)</f>
        <v>268813.20560000004</v>
      </c>
      <c r="AX80" s="25">
        <f ca="1">OFFSET(BS!$B$32,0,COLUMN(AX$52)-COLUMN($B$52),1,1)</f>
        <v>261254.10560000004</v>
      </c>
      <c r="AY80" s="25">
        <f ca="1">OFFSET(BS!$B$32,0,COLUMN(AY$52)-COLUMN($B$52),1,1)</f>
        <v>230066.00560000003</v>
      </c>
      <c r="AZ80" s="25">
        <f ca="1">OFFSET(BS!$B$32,0,COLUMN(AZ$52)-COLUMN($B$52),1,1)</f>
        <v>187587.00560000003</v>
      </c>
      <c r="BA80" s="25">
        <f ca="1">OFFSET(BS!$B$32,0,COLUMN(BA$52)-COLUMN($B$52),1,1)</f>
        <v>143104.50560000003</v>
      </c>
      <c r="BB80" s="25">
        <f ca="1">OFFSET(BS!$B$32,0,COLUMN(BB$52)-COLUMN($B$52),1,1)</f>
        <v>162130.00560000003</v>
      </c>
      <c r="BC80" s="25">
        <f ca="1">OFFSET($B$80,0,1,1,1)</f>
        <v>21000</v>
      </c>
      <c r="BD80" s="25">
        <f ca="1">BC82</f>
        <v>-10817</v>
      </c>
      <c r="BE80" s="25">
        <f ca="1">BD82</f>
        <v>-52871.154399999985</v>
      </c>
      <c r="BF80" s="25">
        <f ca="1">BE82</f>
        <v>123578.62560000004</v>
      </c>
      <c r="BG80" s="25">
        <f ca="1">OFFSET($B$80,0,1,1,1)</f>
        <v>21000</v>
      </c>
    </row>
    <row r="81" spans="2:59" ht="15" customHeight="1" x14ac:dyDescent="0.3">
      <c r="C81" s="25"/>
      <c r="D81" s="25"/>
      <c r="E81" s="25"/>
      <c r="F81" s="25"/>
      <c r="G81" s="25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 spans="2:59" ht="15" customHeight="1" thickBot="1" x14ac:dyDescent="0.4">
      <c r="B82" s="2" t="s">
        <v>83</v>
      </c>
      <c r="C82" s="35">
        <f t="shared" ref="C82:AH82" ca="1" si="22">SUM(C78,C80)</f>
        <v>-44200</v>
      </c>
      <c r="D82" s="35">
        <f t="shared" ca="1" si="22"/>
        <v>-49009</v>
      </c>
      <c r="E82" s="35">
        <f t="shared" ca="1" si="22"/>
        <v>-59274</v>
      </c>
      <c r="F82" s="35">
        <f t="shared" ca="1" si="22"/>
        <v>-27749</v>
      </c>
      <c r="G82" s="35">
        <f t="shared" ca="1" si="22"/>
        <v>-8098</v>
      </c>
      <c r="H82" s="35">
        <f t="shared" ca="1" si="22"/>
        <v>-27244</v>
      </c>
      <c r="I82" s="35">
        <f t="shared" ca="1" si="22"/>
        <v>-17540</v>
      </c>
      <c r="J82" s="35">
        <f t="shared" ca="1" si="22"/>
        <v>-8020</v>
      </c>
      <c r="K82" s="35">
        <f t="shared" ca="1" si="22"/>
        <v>15857</v>
      </c>
      <c r="L82" s="35">
        <f t="shared" ca="1" si="22"/>
        <v>20037</v>
      </c>
      <c r="M82" s="35">
        <f t="shared" ca="1" si="22"/>
        <v>-7133</v>
      </c>
      <c r="N82" s="35">
        <f t="shared" ca="1" si="22"/>
        <v>-5893</v>
      </c>
      <c r="O82" s="35">
        <f t="shared" ca="1" si="22"/>
        <v>-10817</v>
      </c>
      <c r="P82" s="35">
        <f t="shared" ca="1" si="22"/>
        <v>-6747</v>
      </c>
      <c r="Q82" s="35">
        <f t="shared" ca="1" si="22"/>
        <v>-27509</v>
      </c>
      <c r="R82" s="35">
        <f t="shared" ca="1" si="22"/>
        <v>-25556.5</v>
      </c>
      <c r="S82" s="35">
        <f t="shared" ca="1" si="22"/>
        <v>-14448.3</v>
      </c>
      <c r="T82" s="35">
        <f t="shared" ca="1" si="22"/>
        <v>16065.7</v>
      </c>
      <c r="U82" s="35">
        <f t="shared" ca="1" si="22"/>
        <v>8734.6000000000022</v>
      </c>
      <c r="V82" s="35">
        <f t="shared" ca="1" si="22"/>
        <v>20774.600000000002</v>
      </c>
      <c r="W82" s="35">
        <f t="shared" ca="1" si="22"/>
        <v>25832.600000000002</v>
      </c>
      <c r="X82" s="35">
        <f t="shared" ca="1" si="22"/>
        <v>39315.15</v>
      </c>
      <c r="Y82" s="35">
        <f t="shared" ca="1" si="22"/>
        <v>3257.8100000000049</v>
      </c>
      <c r="Z82" s="35">
        <f t="shared" ca="1" si="22"/>
        <v>-8866.2699999999968</v>
      </c>
      <c r="AA82" s="35">
        <f t="shared" ca="1" si="22"/>
        <v>7773.7300000000032</v>
      </c>
      <c r="AB82" s="35">
        <f t="shared" ca="1" si="22"/>
        <v>-52871.154399999992</v>
      </c>
      <c r="AC82" s="35">
        <f t="shared" ca="1" si="22"/>
        <v>-34938.754399999991</v>
      </c>
      <c r="AD82" s="35">
        <f t="shared" ca="1" si="22"/>
        <v>-49570.754399999991</v>
      </c>
      <c r="AE82" s="35">
        <f t="shared" ca="1" si="22"/>
        <v>-34628.754399999991</v>
      </c>
      <c r="AF82" s="35">
        <f t="shared" ca="1" si="22"/>
        <v>-14925.954399999988</v>
      </c>
      <c r="AG82" s="35">
        <f t="shared" ca="1" si="22"/>
        <v>-4857.3543999999893</v>
      </c>
      <c r="AH82" s="35">
        <f t="shared" ca="1" si="22"/>
        <v>-15148.954399999988</v>
      </c>
      <c r="AI82" s="35">
        <f t="shared" ref="AI82:BG82" ca="1" si="23">SUM(AI78,AI80)</f>
        <v>3393.2456000000166</v>
      </c>
      <c r="AJ82" s="35">
        <f t="shared" ca="1" si="23"/>
        <v>13314.045600000019</v>
      </c>
      <c r="AK82" s="35">
        <f t="shared" ca="1" si="23"/>
        <v>48659.745600000024</v>
      </c>
      <c r="AL82" s="35">
        <f t="shared" ca="1" si="23"/>
        <v>84232.745600000024</v>
      </c>
      <c r="AM82" s="35">
        <f t="shared" ca="1" si="23"/>
        <v>69962.34560000003</v>
      </c>
      <c r="AN82" s="35">
        <f t="shared" ca="1" si="23"/>
        <v>85990.70560000003</v>
      </c>
      <c r="AO82" s="35">
        <f t="shared" ca="1" si="23"/>
        <v>123578.62560000003</v>
      </c>
      <c r="AP82" s="35">
        <f t="shared" ca="1" si="23"/>
        <v>164777.20560000004</v>
      </c>
      <c r="AQ82" s="35">
        <f t="shared" ca="1" si="23"/>
        <v>168368.20560000004</v>
      </c>
      <c r="AR82" s="35">
        <f t="shared" ca="1" si="23"/>
        <v>217458.70560000004</v>
      </c>
      <c r="AS82" s="35">
        <f t="shared" ca="1" si="23"/>
        <v>257190.20560000004</v>
      </c>
      <c r="AT82" s="35">
        <f t="shared" ca="1" si="23"/>
        <v>299610.20560000004</v>
      </c>
      <c r="AU82" s="35">
        <f t="shared" ca="1" si="23"/>
        <v>349490.70560000004</v>
      </c>
      <c r="AV82" s="35">
        <f t="shared" ca="1" si="23"/>
        <v>268813.20560000004</v>
      </c>
      <c r="AW82" s="35">
        <f t="shared" ca="1" si="23"/>
        <v>261254.10560000004</v>
      </c>
      <c r="AX82" s="35">
        <f t="shared" ca="1" si="23"/>
        <v>230066.00560000003</v>
      </c>
      <c r="AY82" s="35">
        <f t="shared" ca="1" si="23"/>
        <v>187587.00560000003</v>
      </c>
      <c r="AZ82" s="35">
        <f t="shared" ca="1" si="23"/>
        <v>143104.50560000003</v>
      </c>
      <c r="BA82" s="35">
        <f t="shared" ca="1" si="23"/>
        <v>162130.00560000003</v>
      </c>
      <c r="BB82" s="35">
        <f t="shared" ca="1" si="23"/>
        <v>83116.904800000018</v>
      </c>
      <c r="BC82" s="35">
        <f t="shared" ca="1" si="23"/>
        <v>-10817</v>
      </c>
      <c r="BD82" s="35">
        <f t="shared" ca="1" si="23"/>
        <v>-52871.154399999985</v>
      </c>
      <c r="BE82" s="35">
        <f t="shared" ca="1" si="23"/>
        <v>123578.62560000004</v>
      </c>
      <c r="BF82" s="35">
        <f t="shared" ca="1" si="23"/>
        <v>83116.904800000048</v>
      </c>
      <c r="BG82" s="35">
        <f t="shared" ca="1" si="23"/>
        <v>83116.904800000077</v>
      </c>
    </row>
    <row r="83" spans="2:59" ht="15" customHeight="1" thickTop="1" x14ac:dyDescent="0.3">
      <c r="B83" s="5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</row>
    <row r="85" spans="2:59" ht="15" customHeight="1" x14ac:dyDescent="0.3"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</row>
  </sheetData>
  <pageMargins left="0.55118110236220474" right="0.55118110236220474" top="0.59055118110236227" bottom="0.59055118110236227" header="0.39370078740157483" footer="0.39370078740157483"/>
  <pageSetup paperSize="9" scale="65" fitToWidth="4" orientation="landscape" r:id="rId1"/>
  <headerFooter alignWithMargins="0">
    <oddFooter>&amp;C&amp;9Page &amp;P of &amp;N</oddFooter>
  </headerFooter>
  <rowBreaks count="1" manualBreakCount="1">
    <brk id="48" min="1" max="58" man="1"/>
  </rowBreaks>
  <colBreaks count="4" manualBreakCount="4">
    <brk id="15" max="81" man="1"/>
    <brk id="28" max="81" man="1"/>
    <brk id="41" max="81" man="1"/>
    <brk id="54" max="81" man="1"/>
  </colBreaks>
  <ignoredErrors>
    <ignoredError sqref="BC63:BG6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43"/>
  <sheetViews>
    <sheetView zoomScale="95" zoomScaleNormal="95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defaultColWidth="9.1328125" defaultRowHeight="15" customHeight="1" x14ac:dyDescent="0.3"/>
  <cols>
    <col min="1" max="1" width="3.73046875" style="5" customWidth="1"/>
    <col min="2" max="2" width="35.73046875" style="7" customWidth="1"/>
    <col min="3" max="9" width="12.73046875" style="8" customWidth="1"/>
    <col min="10" max="60" width="12.73046875" style="5" customWidth="1"/>
    <col min="61" max="77" width="9.1328125" style="5" customWidth="1"/>
    <col min="78" max="16384" width="9.1328125" style="5"/>
  </cols>
  <sheetData>
    <row r="1" spans="2:60" x14ac:dyDescent="0.4">
      <c r="B1" s="1" t="str">
        <f>Assumptions!$B$4</f>
        <v>Example Trading Limited</v>
      </c>
      <c r="C1" s="3"/>
      <c r="Q1" s="41"/>
      <c r="AD1" s="41"/>
      <c r="AQ1" s="41"/>
    </row>
    <row r="2" spans="2:60" ht="15" customHeight="1" x14ac:dyDescent="0.35">
      <c r="B2" s="6" t="s">
        <v>113</v>
      </c>
      <c r="C2" s="3"/>
    </row>
    <row r="3" spans="2:60" s="93" customFormat="1" ht="15" customHeight="1" x14ac:dyDescent="0.35">
      <c r="B3" s="90" t="s">
        <v>60</v>
      </c>
      <c r="C3" s="89" t="s">
        <v>105</v>
      </c>
      <c r="D3" s="89" t="str">
        <f>IF(COLUMN(D4)-2&lt;=Assumptions!$B$7,"Q1",IF(COLUMN(D4)-2&lt;=SUM(Assumptions!$B$7:$B$8),"Q2",IF(COLUMN(D4)-2&lt;=SUM(Assumptions!$B$7:$B$9),"Q3","Q4")))</f>
        <v>Q1</v>
      </c>
      <c r="E3" s="89" t="str">
        <f>IF(COLUMN(E4)-2&lt;=Assumptions!$B$7,"Q1",IF(COLUMN(E4)-2&lt;=SUM(Assumptions!$B$7:$B$8),"Q2",IF(COLUMN(E4)-2&lt;=SUM(Assumptions!$B$7:$B$9),"Q3","Q4")))</f>
        <v>Q1</v>
      </c>
      <c r="F3" s="89" t="str">
        <f>IF(COLUMN(F4)-2&lt;=Assumptions!$B$7,"Q1",IF(COLUMN(F4)-2&lt;=SUM(Assumptions!$B$7:$B$8),"Q2",IF(COLUMN(F4)-2&lt;=SUM(Assumptions!$B$7:$B$9),"Q3","Q4")))</f>
        <v>Q1</v>
      </c>
      <c r="G3" s="89" t="str">
        <f>IF(COLUMN(G4)-2&lt;=Assumptions!$B$7,"Q1",IF(COLUMN(G4)-2&lt;=SUM(Assumptions!$B$7:$B$8),"Q2",IF(COLUMN(G4)-2&lt;=SUM(Assumptions!$B$7:$B$9),"Q3","Q4")))</f>
        <v>Q1</v>
      </c>
      <c r="H3" s="89" t="str">
        <f>IF(COLUMN(H4)-2&lt;=Assumptions!$B$7,"Q1",IF(COLUMN(H4)-2&lt;=SUM(Assumptions!$B$7:$B$8),"Q2",IF(COLUMN(H4)-2&lt;=SUM(Assumptions!$B$7:$B$9),"Q3","Q4")))</f>
        <v>Q1</v>
      </c>
      <c r="I3" s="89" t="str">
        <f>IF(COLUMN(I4)-2&lt;=Assumptions!$B$7,"Q1",IF(COLUMN(I4)-2&lt;=SUM(Assumptions!$B$7:$B$8),"Q2",IF(COLUMN(I4)-2&lt;=SUM(Assumptions!$B$7:$B$9),"Q3","Q4")))</f>
        <v>Q1</v>
      </c>
      <c r="J3" s="89" t="str">
        <f>IF(COLUMN(J4)-2&lt;=Assumptions!$B$7,"Q1",IF(COLUMN(J4)-2&lt;=SUM(Assumptions!$B$7:$B$8),"Q2",IF(COLUMN(J4)-2&lt;=SUM(Assumptions!$B$7:$B$9),"Q3","Q4")))</f>
        <v>Q1</v>
      </c>
      <c r="K3" s="89" t="str">
        <f>IF(COLUMN(K4)-2&lt;=Assumptions!$B$7,"Q1",IF(COLUMN(K4)-2&lt;=SUM(Assumptions!$B$7:$B$8),"Q2",IF(COLUMN(K4)-2&lt;=SUM(Assumptions!$B$7:$B$9),"Q3","Q4")))</f>
        <v>Q1</v>
      </c>
      <c r="L3" s="89" t="str">
        <f>IF(COLUMN(L4)-2&lt;=Assumptions!$B$7,"Q1",IF(COLUMN(L4)-2&lt;=SUM(Assumptions!$B$7:$B$8),"Q2",IF(COLUMN(L4)-2&lt;=SUM(Assumptions!$B$7:$B$9),"Q3","Q4")))</f>
        <v>Q1</v>
      </c>
      <c r="M3" s="89" t="str">
        <f>IF(COLUMN(M4)-2&lt;=Assumptions!$B$7,"Q1",IF(COLUMN(M4)-2&lt;=SUM(Assumptions!$B$7:$B$8),"Q2",IF(COLUMN(M4)-2&lt;=SUM(Assumptions!$B$7:$B$9),"Q3","Q4")))</f>
        <v>Q1</v>
      </c>
      <c r="N3" s="89" t="str">
        <f>IF(COLUMN(N4)-2&lt;=Assumptions!$B$7,"Q1",IF(COLUMN(N4)-2&lt;=SUM(Assumptions!$B$7:$B$8),"Q2",IF(COLUMN(N4)-2&lt;=SUM(Assumptions!$B$7:$B$9),"Q3","Q4")))</f>
        <v>Q1</v>
      </c>
      <c r="O3" s="89" t="str">
        <f>IF(COLUMN(O4)-2&lt;=Assumptions!$B$7,"Q1",IF(COLUMN(O4)-2&lt;=SUM(Assumptions!$B$7:$B$8),"Q2",IF(COLUMN(O4)-2&lt;=SUM(Assumptions!$B$7:$B$9),"Q3","Q4")))</f>
        <v>Q1</v>
      </c>
      <c r="P3" s="89" t="str">
        <f>IF(COLUMN(P4)-2&lt;=Assumptions!$B$7,"Q1",IF(COLUMN(P4)-2&lt;=SUM(Assumptions!$B$7:$B$8),"Q2",IF(COLUMN(P4)-2&lt;=SUM(Assumptions!$B$7:$B$9),"Q3","Q4")))</f>
        <v>Q2</v>
      </c>
      <c r="Q3" s="89" t="str">
        <f>IF(COLUMN(Q4)-2&lt;=Assumptions!$B$7,"Q1",IF(COLUMN(Q4)-2&lt;=SUM(Assumptions!$B$7:$B$8),"Q2",IF(COLUMN(Q4)-2&lt;=SUM(Assumptions!$B$7:$B$9),"Q3","Q4")))</f>
        <v>Q2</v>
      </c>
      <c r="R3" s="89" t="str">
        <f>IF(COLUMN(R4)-2&lt;=Assumptions!$B$7,"Q1",IF(COLUMN(R4)-2&lt;=SUM(Assumptions!$B$7:$B$8),"Q2",IF(COLUMN(R4)-2&lt;=SUM(Assumptions!$B$7:$B$9),"Q3","Q4")))</f>
        <v>Q2</v>
      </c>
      <c r="S3" s="89" t="str">
        <f>IF(COLUMN(S4)-2&lt;=Assumptions!$B$7,"Q1",IF(COLUMN(S4)-2&lt;=SUM(Assumptions!$B$7:$B$8),"Q2",IF(COLUMN(S4)-2&lt;=SUM(Assumptions!$B$7:$B$9),"Q3","Q4")))</f>
        <v>Q2</v>
      </c>
      <c r="T3" s="89" t="str">
        <f>IF(COLUMN(T4)-2&lt;=Assumptions!$B$7,"Q1",IF(COLUMN(T4)-2&lt;=SUM(Assumptions!$B$7:$B$8),"Q2",IF(COLUMN(T4)-2&lt;=SUM(Assumptions!$B$7:$B$9),"Q3","Q4")))</f>
        <v>Q2</v>
      </c>
      <c r="U3" s="89" t="str">
        <f>IF(COLUMN(U4)-2&lt;=Assumptions!$B$7,"Q1",IF(COLUMN(U4)-2&lt;=SUM(Assumptions!$B$7:$B$8),"Q2",IF(COLUMN(U4)-2&lt;=SUM(Assumptions!$B$7:$B$9),"Q3","Q4")))</f>
        <v>Q2</v>
      </c>
      <c r="V3" s="89" t="str">
        <f>IF(COLUMN(V4)-2&lt;=Assumptions!$B$7,"Q1",IF(COLUMN(V4)-2&lt;=SUM(Assumptions!$B$7:$B$8),"Q2",IF(COLUMN(V4)-2&lt;=SUM(Assumptions!$B$7:$B$9),"Q3","Q4")))</f>
        <v>Q2</v>
      </c>
      <c r="W3" s="89" t="str">
        <f>IF(COLUMN(W4)-2&lt;=Assumptions!$B$7,"Q1",IF(COLUMN(W4)-2&lt;=SUM(Assumptions!$B$7:$B$8),"Q2",IF(COLUMN(W4)-2&lt;=SUM(Assumptions!$B$7:$B$9),"Q3","Q4")))</f>
        <v>Q2</v>
      </c>
      <c r="X3" s="89" t="str">
        <f>IF(COLUMN(X4)-2&lt;=Assumptions!$B$7,"Q1",IF(COLUMN(X4)-2&lt;=SUM(Assumptions!$B$7:$B$8),"Q2",IF(COLUMN(X4)-2&lt;=SUM(Assumptions!$B$7:$B$9),"Q3","Q4")))</f>
        <v>Q2</v>
      </c>
      <c r="Y3" s="89" t="str">
        <f>IF(COLUMN(Y4)-2&lt;=Assumptions!$B$7,"Q1",IF(COLUMN(Y4)-2&lt;=SUM(Assumptions!$B$7:$B$8),"Q2",IF(COLUMN(Y4)-2&lt;=SUM(Assumptions!$B$7:$B$9),"Q3","Q4")))</f>
        <v>Q2</v>
      </c>
      <c r="Z3" s="89" t="str">
        <f>IF(COLUMN(Z4)-2&lt;=Assumptions!$B$7,"Q1",IF(COLUMN(Z4)-2&lt;=SUM(Assumptions!$B$7:$B$8),"Q2",IF(COLUMN(Z4)-2&lt;=SUM(Assumptions!$B$7:$B$9),"Q3","Q4")))</f>
        <v>Q2</v>
      </c>
      <c r="AA3" s="89" t="str">
        <f>IF(COLUMN(AA4)-2&lt;=Assumptions!$B$7,"Q1",IF(COLUMN(AA4)-2&lt;=SUM(Assumptions!$B$7:$B$8),"Q2",IF(COLUMN(AA4)-2&lt;=SUM(Assumptions!$B$7:$B$9),"Q3","Q4")))</f>
        <v>Q2</v>
      </c>
      <c r="AB3" s="89" t="str">
        <f>IF(COLUMN(AB4)-2&lt;=Assumptions!$B$7,"Q1",IF(COLUMN(AB4)-2&lt;=SUM(Assumptions!$B$7:$B$8),"Q2",IF(COLUMN(AB4)-2&lt;=SUM(Assumptions!$B$7:$B$9),"Q3","Q4")))</f>
        <v>Q2</v>
      </c>
      <c r="AC3" s="89" t="str">
        <f>IF(COLUMN(AC4)-2&lt;=Assumptions!$B$7,"Q1",IF(COLUMN(AC4)-2&lt;=SUM(Assumptions!$B$7:$B$8),"Q2",IF(COLUMN(AC4)-2&lt;=SUM(Assumptions!$B$7:$B$9),"Q3","Q4")))</f>
        <v>Q3</v>
      </c>
      <c r="AD3" s="89" t="str">
        <f>IF(COLUMN(AD4)-2&lt;=Assumptions!$B$7,"Q1",IF(COLUMN(AD4)-2&lt;=SUM(Assumptions!$B$7:$B$8),"Q2",IF(COLUMN(AD4)-2&lt;=SUM(Assumptions!$B$7:$B$9),"Q3","Q4")))</f>
        <v>Q3</v>
      </c>
      <c r="AE3" s="89" t="str">
        <f>IF(COLUMN(AE4)-2&lt;=Assumptions!$B$7,"Q1",IF(COLUMN(AE4)-2&lt;=SUM(Assumptions!$B$7:$B$8),"Q2",IF(COLUMN(AE4)-2&lt;=SUM(Assumptions!$B$7:$B$9),"Q3","Q4")))</f>
        <v>Q3</v>
      </c>
      <c r="AF3" s="89" t="str">
        <f>IF(COLUMN(AF4)-2&lt;=Assumptions!$B$7,"Q1",IF(COLUMN(AF4)-2&lt;=SUM(Assumptions!$B$7:$B$8),"Q2",IF(COLUMN(AF4)-2&lt;=SUM(Assumptions!$B$7:$B$9),"Q3","Q4")))</f>
        <v>Q3</v>
      </c>
      <c r="AG3" s="89" t="str">
        <f>IF(COLUMN(AG4)-2&lt;=Assumptions!$B$7,"Q1",IF(COLUMN(AG4)-2&lt;=SUM(Assumptions!$B$7:$B$8),"Q2",IF(COLUMN(AG4)-2&lt;=SUM(Assumptions!$B$7:$B$9),"Q3","Q4")))</f>
        <v>Q3</v>
      </c>
      <c r="AH3" s="89" t="str">
        <f>IF(COLUMN(AH4)-2&lt;=Assumptions!$B$7,"Q1",IF(COLUMN(AH4)-2&lt;=SUM(Assumptions!$B$7:$B$8),"Q2",IF(COLUMN(AH4)-2&lt;=SUM(Assumptions!$B$7:$B$9),"Q3","Q4")))</f>
        <v>Q3</v>
      </c>
      <c r="AI3" s="89" t="str">
        <f>IF(COLUMN(AI4)-2&lt;=Assumptions!$B$7,"Q1",IF(COLUMN(AI4)-2&lt;=SUM(Assumptions!$B$7:$B$8),"Q2",IF(COLUMN(AI4)-2&lt;=SUM(Assumptions!$B$7:$B$9),"Q3","Q4")))</f>
        <v>Q3</v>
      </c>
      <c r="AJ3" s="89" t="str">
        <f>IF(COLUMN(AJ4)-2&lt;=Assumptions!$B$7,"Q1",IF(COLUMN(AJ4)-2&lt;=SUM(Assumptions!$B$7:$B$8),"Q2",IF(COLUMN(AJ4)-2&lt;=SUM(Assumptions!$B$7:$B$9),"Q3","Q4")))</f>
        <v>Q3</v>
      </c>
      <c r="AK3" s="89" t="str">
        <f>IF(COLUMN(AK4)-2&lt;=Assumptions!$B$7,"Q1",IF(COLUMN(AK4)-2&lt;=SUM(Assumptions!$B$7:$B$8),"Q2",IF(COLUMN(AK4)-2&lt;=SUM(Assumptions!$B$7:$B$9),"Q3","Q4")))</f>
        <v>Q3</v>
      </c>
      <c r="AL3" s="89" t="str">
        <f>IF(COLUMN(AL4)-2&lt;=Assumptions!$B$7,"Q1",IF(COLUMN(AL4)-2&lt;=SUM(Assumptions!$B$7:$B$8),"Q2",IF(COLUMN(AL4)-2&lt;=SUM(Assumptions!$B$7:$B$9),"Q3","Q4")))</f>
        <v>Q3</v>
      </c>
      <c r="AM3" s="89" t="str">
        <f>IF(COLUMN(AM4)-2&lt;=Assumptions!$B$7,"Q1",IF(COLUMN(AM4)-2&lt;=SUM(Assumptions!$B$7:$B$8),"Q2",IF(COLUMN(AM4)-2&lt;=SUM(Assumptions!$B$7:$B$9),"Q3","Q4")))</f>
        <v>Q3</v>
      </c>
      <c r="AN3" s="89" t="str">
        <f>IF(COLUMN(AN4)-2&lt;=Assumptions!$B$7,"Q1",IF(COLUMN(AN4)-2&lt;=SUM(Assumptions!$B$7:$B$8),"Q2",IF(COLUMN(AN4)-2&lt;=SUM(Assumptions!$B$7:$B$9),"Q3","Q4")))</f>
        <v>Q3</v>
      </c>
      <c r="AO3" s="89" t="str">
        <f>IF(COLUMN(AO4)-2&lt;=Assumptions!$B$7,"Q1",IF(COLUMN(AO4)-2&lt;=SUM(Assumptions!$B$7:$B$8),"Q2",IF(COLUMN(AO4)-2&lt;=SUM(Assumptions!$B$7:$B$9),"Q3","Q4")))</f>
        <v>Q3</v>
      </c>
      <c r="AP3" s="89" t="str">
        <f>IF(COLUMN(AP4)-2&lt;=Assumptions!$B$7,"Q1",IF(COLUMN(AP4)-2&lt;=SUM(Assumptions!$B$7:$B$8),"Q2",IF(COLUMN(AP4)-2&lt;=SUM(Assumptions!$B$7:$B$9),"Q3","Q4")))</f>
        <v>Q4</v>
      </c>
      <c r="AQ3" s="89" t="str">
        <f>IF(COLUMN(AQ4)-2&lt;=Assumptions!$B$7,"Q1",IF(COLUMN(AQ4)-2&lt;=SUM(Assumptions!$B$7:$B$8),"Q2",IF(COLUMN(AQ4)-2&lt;=SUM(Assumptions!$B$7:$B$9),"Q3","Q4")))</f>
        <v>Q4</v>
      </c>
      <c r="AR3" s="89" t="str">
        <f>IF(COLUMN(AR4)-2&lt;=Assumptions!$B$7,"Q1",IF(COLUMN(AR4)-2&lt;=SUM(Assumptions!$B$7:$B$8),"Q2",IF(COLUMN(AR4)-2&lt;=SUM(Assumptions!$B$7:$B$9),"Q3","Q4")))</f>
        <v>Q4</v>
      </c>
      <c r="AS3" s="89" t="str">
        <f>IF(COLUMN(AS4)-2&lt;=Assumptions!$B$7,"Q1",IF(COLUMN(AS4)-2&lt;=SUM(Assumptions!$B$7:$B$8),"Q2",IF(COLUMN(AS4)-2&lt;=SUM(Assumptions!$B$7:$B$9),"Q3","Q4")))</f>
        <v>Q4</v>
      </c>
      <c r="AT3" s="89" t="str">
        <f>IF(COLUMN(AT4)-2&lt;=Assumptions!$B$7,"Q1",IF(COLUMN(AT4)-2&lt;=SUM(Assumptions!$B$7:$B$8),"Q2",IF(COLUMN(AT4)-2&lt;=SUM(Assumptions!$B$7:$B$9),"Q3","Q4")))</f>
        <v>Q4</v>
      </c>
      <c r="AU3" s="89" t="str">
        <f>IF(COLUMN(AU4)-2&lt;=Assumptions!$B$7,"Q1",IF(COLUMN(AU4)-2&lt;=SUM(Assumptions!$B$7:$B$8),"Q2",IF(COLUMN(AU4)-2&lt;=SUM(Assumptions!$B$7:$B$9),"Q3","Q4")))</f>
        <v>Q4</v>
      </c>
      <c r="AV3" s="89" t="str">
        <f>IF(COLUMN(AV4)-2&lt;=Assumptions!$B$7,"Q1",IF(COLUMN(AV4)-2&lt;=SUM(Assumptions!$B$7:$B$8),"Q2",IF(COLUMN(AV4)-2&lt;=SUM(Assumptions!$B$7:$B$9),"Q3","Q4")))</f>
        <v>Q4</v>
      </c>
      <c r="AW3" s="89" t="str">
        <f>IF(COLUMN(AW4)-2&lt;=Assumptions!$B$7,"Q1",IF(COLUMN(AW4)-2&lt;=SUM(Assumptions!$B$7:$B$8),"Q2",IF(COLUMN(AW4)-2&lt;=SUM(Assumptions!$B$7:$B$9),"Q3","Q4")))</f>
        <v>Q4</v>
      </c>
      <c r="AX3" s="89" t="str">
        <f>IF(COLUMN(AX4)-2&lt;=Assumptions!$B$7,"Q1",IF(COLUMN(AX4)-2&lt;=SUM(Assumptions!$B$7:$B$8),"Q2",IF(COLUMN(AX4)-2&lt;=SUM(Assumptions!$B$7:$B$9),"Q3","Q4")))</f>
        <v>Q4</v>
      </c>
      <c r="AY3" s="89" t="str">
        <f>IF(COLUMN(AY4)-2&lt;=Assumptions!$B$7,"Q1",IF(COLUMN(AY4)-2&lt;=SUM(Assumptions!$B$7:$B$8),"Q2",IF(COLUMN(AY4)-2&lt;=SUM(Assumptions!$B$7:$B$9),"Q3","Q4")))</f>
        <v>Q4</v>
      </c>
      <c r="AZ3" s="89" t="str">
        <f>IF(COLUMN(AZ4)-2&lt;=Assumptions!$B$7,"Q1",IF(COLUMN(AZ4)-2&lt;=SUM(Assumptions!$B$7:$B$8),"Q2",IF(COLUMN(AZ4)-2&lt;=SUM(Assumptions!$B$7:$B$9),"Q3","Q4")))</f>
        <v>Q4</v>
      </c>
      <c r="BA3" s="89" t="str">
        <f>IF(COLUMN(BA4)-2&lt;=Assumptions!$B$7,"Q1",IF(COLUMN(BA4)-2&lt;=SUM(Assumptions!$B$7:$B$8),"Q2",IF(COLUMN(BA4)-2&lt;=SUM(Assumptions!$B$7:$B$9),"Q3","Q4")))</f>
        <v>Q4</v>
      </c>
      <c r="BB3" s="89" t="str">
        <f>IF(COLUMN(BB4)-2&lt;=Assumptions!$B$7,"Q1",IF(COLUMN(BB4)-2&lt;=SUM(Assumptions!$B$7:$B$8),"Q2",IF(COLUMN(BB4)-2&lt;=SUM(Assumptions!$B$7:$B$9),"Q3","Q4")))</f>
        <v>Q4</v>
      </c>
      <c r="BC3" s="89" t="str">
        <f>IF(COLUMN(BC4)-2&lt;=Assumptions!$B$7,"Q1",IF(COLUMN(BC4)-2&lt;=SUM(Assumptions!$B$7:$B$8),"Q2",IF(COLUMN(BC4)-2&lt;=SUM(Assumptions!$B$7:$B$9),"Q3","Q4")))</f>
        <v>Q4</v>
      </c>
      <c r="BD3" s="91" t="s">
        <v>101</v>
      </c>
      <c r="BE3" s="91" t="s">
        <v>102</v>
      </c>
      <c r="BF3" s="91" t="s">
        <v>103</v>
      </c>
      <c r="BG3" s="91" t="s">
        <v>104</v>
      </c>
      <c r="BH3" s="91"/>
    </row>
    <row r="4" spans="2:60" s="66" customFormat="1" ht="18" customHeight="1" x14ac:dyDescent="0.35">
      <c r="B4" s="67"/>
      <c r="C4" s="68">
        <f ca="1">IF(ISBLANK(Assumptions!$B$5)=TRUE,DATE(YEAR(TODAY()),MONTH(TODAY()),0),DATE(YEAR(Assumptions!$B$5),MONTH(Assumptions!$B$5),DAY(Assumptions!$B$5)-1))</f>
        <v>42428</v>
      </c>
      <c r="D4" s="68">
        <f ca="1">IF(ISBLANK(Assumptions!$B$5)=TRUE,DATE(YEAR(TODAY()),MONTH(TODAY()),7),DATE(YEAR(Assumptions!$B$5),MONTH(Assumptions!$B$5),DAY(Assumptions!$B$5)+6))</f>
        <v>42435</v>
      </c>
      <c r="E4" s="68">
        <f t="shared" ref="E4:AJ4" ca="1" si="0">DATE(YEAR(OFFSET(E3,1,-1,1,1)),MONTH(OFFSET(E3,1,-1,1,1)),DAY(OFFSET(E3,1,-1,1,1))+7)</f>
        <v>42442</v>
      </c>
      <c r="F4" s="68">
        <f t="shared" ca="1" si="0"/>
        <v>42449</v>
      </c>
      <c r="G4" s="68">
        <f t="shared" ca="1" si="0"/>
        <v>42456</v>
      </c>
      <c r="H4" s="68">
        <f t="shared" ca="1" si="0"/>
        <v>42463</v>
      </c>
      <c r="I4" s="68">
        <f t="shared" ca="1" si="0"/>
        <v>42470</v>
      </c>
      <c r="J4" s="68">
        <f t="shared" ca="1" si="0"/>
        <v>42477</v>
      </c>
      <c r="K4" s="68">
        <f t="shared" ca="1" si="0"/>
        <v>42484</v>
      </c>
      <c r="L4" s="68">
        <f t="shared" ca="1" si="0"/>
        <v>42491</v>
      </c>
      <c r="M4" s="68">
        <f t="shared" ca="1" si="0"/>
        <v>42498</v>
      </c>
      <c r="N4" s="68">
        <f t="shared" ca="1" si="0"/>
        <v>42505</v>
      </c>
      <c r="O4" s="68">
        <f t="shared" ca="1" si="0"/>
        <v>42512</v>
      </c>
      <c r="P4" s="68">
        <f t="shared" ca="1" si="0"/>
        <v>42519</v>
      </c>
      <c r="Q4" s="68">
        <f t="shared" ca="1" si="0"/>
        <v>42526</v>
      </c>
      <c r="R4" s="68">
        <f t="shared" ca="1" si="0"/>
        <v>42533</v>
      </c>
      <c r="S4" s="68">
        <f t="shared" ca="1" si="0"/>
        <v>42540</v>
      </c>
      <c r="T4" s="68">
        <f t="shared" ca="1" si="0"/>
        <v>42547</v>
      </c>
      <c r="U4" s="68">
        <f t="shared" ca="1" si="0"/>
        <v>42554</v>
      </c>
      <c r="V4" s="68">
        <f t="shared" ca="1" si="0"/>
        <v>42561</v>
      </c>
      <c r="W4" s="68">
        <f t="shared" ca="1" si="0"/>
        <v>42568</v>
      </c>
      <c r="X4" s="68">
        <f t="shared" ca="1" si="0"/>
        <v>42575</v>
      </c>
      <c r="Y4" s="68">
        <f t="shared" ca="1" si="0"/>
        <v>42582</v>
      </c>
      <c r="Z4" s="68">
        <f t="shared" ca="1" si="0"/>
        <v>42589</v>
      </c>
      <c r="AA4" s="68">
        <f t="shared" ca="1" si="0"/>
        <v>42596</v>
      </c>
      <c r="AB4" s="68">
        <f t="shared" ca="1" si="0"/>
        <v>42603</v>
      </c>
      <c r="AC4" s="68">
        <f t="shared" ca="1" si="0"/>
        <v>42610</v>
      </c>
      <c r="AD4" s="68">
        <f t="shared" ca="1" si="0"/>
        <v>42617</v>
      </c>
      <c r="AE4" s="68">
        <f t="shared" ca="1" si="0"/>
        <v>42624</v>
      </c>
      <c r="AF4" s="68">
        <f t="shared" ca="1" si="0"/>
        <v>42631</v>
      </c>
      <c r="AG4" s="68">
        <f t="shared" ca="1" si="0"/>
        <v>42638</v>
      </c>
      <c r="AH4" s="68">
        <f t="shared" ca="1" si="0"/>
        <v>42645</v>
      </c>
      <c r="AI4" s="68">
        <f t="shared" ca="1" si="0"/>
        <v>42652</v>
      </c>
      <c r="AJ4" s="68">
        <f t="shared" ca="1" si="0"/>
        <v>42659</v>
      </c>
      <c r="AK4" s="68">
        <f t="shared" ref="AK4:BC4" ca="1" si="1">DATE(YEAR(OFFSET(AK3,1,-1,1,1)),MONTH(OFFSET(AK3,1,-1,1,1)),DAY(OFFSET(AK3,1,-1,1,1))+7)</f>
        <v>42666</v>
      </c>
      <c r="AL4" s="68">
        <f t="shared" ca="1" si="1"/>
        <v>42673</v>
      </c>
      <c r="AM4" s="68">
        <f t="shared" ca="1" si="1"/>
        <v>42680</v>
      </c>
      <c r="AN4" s="68">
        <f t="shared" ca="1" si="1"/>
        <v>42687</v>
      </c>
      <c r="AO4" s="68">
        <f t="shared" ca="1" si="1"/>
        <v>42694</v>
      </c>
      <c r="AP4" s="68">
        <f t="shared" ca="1" si="1"/>
        <v>42701</v>
      </c>
      <c r="AQ4" s="68">
        <f t="shared" ca="1" si="1"/>
        <v>42708</v>
      </c>
      <c r="AR4" s="68">
        <f t="shared" ca="1" si="1"/>
        <v>42715</v>
      </c>
      <c r="AS4" s="68">
        <f t="shared" ca="1" si="1"/>
        <v>42722</v>
      </c>
      <c r="AT4" s="68">
        <f t="shared" ca="1" si="1"/>
        <v>42729</v>
      </c>
      <c r="AU4" s="68">
        <f t="shared" ca="1" si="1"/>
        <v>42736</v>
      </c>
      <c r="AV4" s="68">
        <f t="shared" ca="1" si="1"/>
        <v>42743</v>
      </c>
      <c r="AW4" s="68">
        <f t="shared" ca="1" si="1"/>
        <v>42750</v>
      </c>
      <c r="AX4" s="68">
        <f t="shared" ca="1" si="1"/>
        <v>42757</v>
      </c>
      <c r="AY4" s="68">
        <f t="shared" ca="1" si="1"/>
        <v>42764</v>
      </c>
      <c r="AZ4" s="68">
        <f t="shared" ca="1" si="1"/>
        <v>42771</v>
      </c>
      <c r="BA4" s="68">
        <f t="shared" ca="1" si="1"/>
        <v>42778</v>
      </c>
      <c r="BB4" s="68">
        <f t="shared" ca="1" si="1"/>
        <v>42785</v>
      </c>
      <c r="BC4" s="68">
        <f t="shared" ca="1" si="1"/>
        <v>42792</v>
      </c>
      <c r="BD4" s="69" t="s">
        <v>87</v>
      </c>
      <c r="BE4" s="69" t="s">
        <v>88</v>
      </c>
      <c r="BF4" s="69" t="s">
        <v>89</v>
      </c>
      <c r="BG4" s="69" t="s">
        <v>90</v>
      </c>
      <c r="BH4" s="69" t="str">
        <f ca="1">"Total "&amp;YEAR(OFFSET($BD$4,0,-1,1,1))</f>
        <v>Total 2017</v>
      </c>
    </row>
    <row r="5" spans="2:60" s="11" customFormat="1" ht="15" customHeight="1" x14ac:dyDescent="0.35">
      <c r="B5" s="2" t="s">
        <v>35</v>
      </c>
      <c r="C5" s="23"/>
      <c r="D5" s="22"/>
      <c r="E5" s="23"/>
      <c r="F5" s="23"/>
      <c r="G5" s="23"/>
      <c r="H5" s="23"/>
      <c r="I5" s="2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</row>
    <row r="6" spans="2:60" ht="15" customHeight="1" x14ac:dyDescent="0.3">
      <c r="B6" s="7" t="s">
        <v>55</v>
      </c>
      <c r="C6" s="25">
        <f>Assumptions!$B$22</f>
        <v>800000</v>
      </c>
      <c r="D6" s="25">
        <f ca="1">OFFSET(D$4,ROW($B6)-ROW($B$4),-1,1,1)-OFFSET(Forecast!$B$69,0,COLUMN(D$4)-COLUMN($C$4),1,1)-OFFSET(Forecast!$B$58,0,COLUMN(D$4)-COLUMN($C$4),1,1)</f>
        <v>800000</v>
      </c>
      <c r="E6" s="25">
        <f ca="1">OFFSET(E$4,ROW($B6)-ROW($B$4),-1,1,1)-OFFSET(Forecast!$B$69,0,COLUMN(E$4)-COLUMN($C$4),1,1)-OFFSET(Forecast!$B$58,0,COLUMN(E$4)-COLUMN($C$4),1,1)</f>
        <v>800000</v>
      </c>
      <c r="F6" s="25">
        <f ca="1">OFFSET(F$4,ROW($B6)-ROW($B$4),-1,1,1)-OFFSET(Forecast!$B$69,0,COLUMN(F$4)-COLUMN($C$4),1,1)-OFFSET(Forecast!$B$58,0,COLUMN(F$4)-COLUMN($C$4),1,1)</f>
        <v>800000</v>
      </c>
      <c r="G6" s="25">
        <f ca="1">OFFSET(G$4,ROW($B6)-ROW($B$4),-1,1,1)-OFFSET(Forecast!$B$69,0,COLUMN(G$4)-COLUMN($C$4),1,1)-OFFSET(Forecast!$B$58,0,COLUMN(G$4)-COLUMN($C$4),1,1)</f>
        <v>800000</v>
      </c>
      <c r="H6" s="25">
        <f ca="1">OFFSET(H$4,ROW($B6)-ROW($B$4),-1,1,1)-OFFSET(Forecast!$B$69,0,COLUMN(H$4)-COLUMN($C$4),1,1)-OFFSET(Forecast!$B$58,0,COLUMN(H$4)-COLUMN($C$4),1,1)</f>
        <v>786667</v>
      </c>
      <c r="I6" s="25">
        <f ca="1">OFFSET(I$4,ROW($B6)-ROW($B$4),-1,1,1)-OFFSET(Forecast!$B$69,0,COLUMN(I$4)-COLUMN($C$4),1,1)-OFFSET(Forecast!$B$58,0,COLUMN(I$4)-COLUMN($C$4),1,1)</f>
        <v>786667</v>
      </c>
      <c r="J6" s="25">
        <f ca="1">OFFSET(J$4,ROW($B6)-ROW($B$4),-1,1,1)-OFFSET(Forecast!$B$69,0,COLUMN(J$4)-COLUMN($C$4),1,1)-OFFSET(Forecast!$B$58,0,COLUMN(J$4)-COLUMN($C$4),1,1)</f>
        <v>786667</v>
      </c>
      <c r="K6" s="25">
        <f ca="1">OFFSET(K$4,ROW($B6)-ROW($B$4),-1,1,1)-OFFSET(Forecast!$B$69,0,COLUMN(K$4)-COLUMN($C$4),1,1)-OFFSET(Forecast!$B$58,0,COLUMN(K$4)-COLUMN($C$4),1,1)</f>
        <v>786667</v>
      </c>
      <c r="L6" s="25">
        <f ca="1">OFFSET(L$4,ROW($B6)-ROW($B$4),-1,1,1)-OFFSET(Forecast!$B$69,0,COLUMN(L$4)-COLUMN($C$4),1,1)-OFFSET(Forecast!$B$58,0,COLUMN(L$4)-COLUMN($C$4),1,1)</f>
        <v>773334</v>
      </c>
      <c r="M6" s="25">
        <f ca="1">OFFSET(M$4,ROW($B6)-ROW($B$4),-1,1,1)-OFFSET(Forecast!$B$69,0,COLUMN(M$4)-COLUMN($C$4),1,1)-OFFSET(Forecast!$B$58,0,COLUMN(M$4)-COLUMN($C$4),1,1)</f>
        <v>773334</v>
      </c>
      <c r="N6" s="25">
        <f ca="1">OFFSET(N$4,ROW($B6)-ROW($B$4),-1,1,1)-OFFSET(Forecast!$B$69,0,COLUMN(N$4)-COLUMN($C$4),1,1)-OFFSET(Forecast!$B$58,0,COLUMN(N$4)-COLUMN($C$4),1,1)</f>
        <v>773334</v>
      </c>
      <c r="O6" s="25">
        <f ca="1">OFFSET(O$4,ROW($B6)-ROW($B$4),-1,1,1)-OFFSET(Forecast!$B$69,0,COLUMN(O$4)-COLUMN($C$4),1,1)-OFFSET(Forecast!$B$58,0,COLUMN(O$4)-COLUMN($C$4),1,1)</f>
        <v>773334</v>
      </c>
      <c r="P6" s="25">
        <f ca="1">OFFSET(P$4,ROW($B6)-ROW($B$4),-1,1,1)-OFFSET(Forecast!$B$69,0,COLUMN(P$4)-COLUMN($C$4),1,1)-OFFSET(Forecast!$B$58,0,COLUMN(P$4)-COLUMN($C$4),1,1)</f>
        <v>858334</v>
      </c>
      <c r="Q6" s="25">
        <f ca="1">OFFSET(Q$4,ROW($B6)-ROW($B$4),-1,1,1)-OFFSET(Forecast!$B$69,0,COLUMN(Q$4)-COLUMN($C$4),1,1)-OFFSET(Forecast!$B$58,0,COLUMN(Q$4)-COLUMN($C$4),1,1)</f>
        <v>858334</v>
      </c>
      <c r="R6" s="25">
        <f ca="1">OFFSET(R$4,ROW($B6)-ROW($B$4),-1,1,1)-OFFSET(Forecast!$B$69,0,COLUMN(R$4)-COLUMN($C$4),1,1)-OFFSET(Forecast!$B$58,0,COLUMN(R$4)-COLUMN($C$4),1,1)</f>
        <v>858334</v>
      </c>
      <c r="S6" s="25">
        <f ca="1">OFFSET(S$4,ROW($B6)-ROW($B$4),-1,1,1)-OFFSET(Forecast!$B$69,0,COLUMN(S$4)-COLUMN($C$4),1,1)-OFFSET(Forecast!$B$58,0,COLUMN(S$4)-COLUMN($C$4),1,1)</f>
        <v>858334</v>
      </c>
      <c r="T6" s="25">
        <f ca="1">OFFSET(T$4,ROW($B6)-ROW($B$4),-1,1,1)-OFFSET(Forecast!$B$69,0,COLUMN(T$4)-COLUMN($C$4),1,1)-OFFSET(Forecast!$B$58,0,COLUMN(T$4)-COLUMN($C$4),1,1)</f>
        <v>858334</v>
      </c>
      <c r="U6" s="25">
        <f ca="1">OFFSET(U$4,ROW($B6)-ROW($B$4),-1,1,1)-OFFSET(Forecast!$B$69,0,COLUMN(U$4)-COLUMN($C$4),1,1)-OFFSET(Forecast!$B$58,0,COLUMN(U$4)-COLUMN($C$4),1,1)</f>
        <v>843334</v>
      </c>
      <c r="V6" s="25">
        <f ca="1">OFFSET(V$4,ROW($B6)-ROW($B$4),-1,1,1)-OFFSET(Forecast!$B$69,0,COLUMN(V$4)-COLUMN($C$4),1,1)-OFFSET(Forecast!$B$58,0,COLUMN(V$4)-COLUMN($C$4),1,1)</f>
        <v>843334</v>
      </c>
      <c r="W6" s="25">
        <f ca="1">OFFSET(W$4,ROW($B6)-ROW($B$4),-1,1,1)-OFFSET(Forecast!$B$69,0,COLUMN(W$4)-COLUMN($C$4),1,1)-OFFSET(Forecast!$B$58,0,COLUMN(W$4)-COLUMN($C$4),1,1)</f>
        <v>843334</v>
      </c>
      <c r="X6" s="25">
        <f ca="1">OFFSET(X$4,ROW($B6)-ROW($B$4),-1,1,1)-OFFSET(Forecast!$B$69,0,COLUMN(X$4)-COLUMN($C$4),1,1)-OFFSET(Forecast!$B$58,0,COLUMN(X$4)-COLUMN($C$4),1,1)</f>
        <v>843334</v>
      </c>
      <c r="Y6" s="25">
        <f ca="1">OFFSET(Y$4,ROW($B6)-ROW($B$4),-1,1,1)-OFFSET(Forecast!$B$69,0,COLUMN(Y$4)-COLUMN($C$4),1,1)-OFFSET(Forecast!$B$58,0,COLUMN(Y$4)-COLUMN($C$4),1,1)</f>
        <v>828334</v>
      </c>
      <c r="Z6" s="25">
        <f ca="1">OFFSET(Z$4,ROW($B6)-ROW($B$4),-1,1,1)-OFFSET(Forecast!$B$69,0,COLUMN(Z$4)-COLUMN($C$4),1,1)-OFFSET(Forecast!$B$58,0,COLUMN(Z$4)-COLUMN($C$4),1,1)</f>
        <v>888334</v>
      </c>
      <c r="AA6" s="25">
        <f ca="1">OFFSET(AA$4,ROW($B6)-ROW($B$4),-1,1,1)-OFFSET(Forecast!$B$69,0,COLUMN(AA$4)-COLUMN($C$4),1,1)-OFFSET(Forecast!$B$58,0,COLUMN(AA$4)-COLUMN($C$4),1,1)</f>
        <v>888334</v>
      </c>
      <c r="AB6" s="25">
        <f ca="1">OFFSET(AB$4,ROW($B6)-ROW($B$4),-1,1,1)-OFFSET(Forecast!$B$69,0,COLUMN(AB$4)-COLUMN($C$4),1,1)-OFFSET(Forecast!$B$58,0,COLUMN(AB$4)-COLUMN($C$4),1,1)</f>
        <v>888334</v>
      </c>
      <c r="AC6" s="25">
        <f ca="1">OFFSET(AC$4,ROW($B6)-ROW($B$4),-1,1,1)-OFFSET(Forecast!$B$69,0,COLUMN(AC$4)-COLUMN($C$4),1,1)-OFFSET(Forecast!$B$58,0,COLUMN(AC$4)-COLUMN($C$4),1,1)</f>
        <v>872334</v>
      </c>
      <c r="AD6" s="25">
        <f ca="1">OFFSET(AD$4,ROW($B6)-ROW($B$4),-1,1,1)-OFFSET(Forecast!$B$69,0,COLUMN(AD$4)-COLUMN($C$4),1,1)-OFFSET(Forecast!$B$58,0,COLUMN(AD$4)-COLUMN($C$4),1,1)</f>
        <v>872334</v>
      </c>
      <c r="AE6" s="25">
        <f ca="1">OFFSET(AE$4,ROW($B6)-ROW($B$4),-1,1,1)-OFFSET(Forecast!$B$69,0,COLUMN(AE$4)-COLUMN($C$4),1,1)-OFFSET(Forecast!$B$58,0,COLUMN(AE$4)-COLUMN($C$4),1,1)</f>
        <v>872334</v>
      </c>
      <c r="AF6" s="25">
        <f ca="1">OFFSET(AF$4,ROW($B6)-ROW($B$4),-1,1,1)-OFFSET(Forecast!$B$69,0,COLUMN(AF$4)-COLUMN($C$4),1,1)-OFFSET(Forecast!$B$58,0,COLUMN(AF$4)-COLUMN($C$4),1,1)</f>
        <v>920334</v>
      </c>
      <c r="AG6" s="25">
        <f ca="1">OFFSET(AG$4,ROW($B6)-ROW($B$4),-1,1,1)-OFFSET(Forecast!$B$69,0,COLUMN(AG$4)-COLUMN($C$4),1,1)-OFFSET(Forecast!$B$58,0,COLUMN(AG$4)-COLUMN($C$4),1,1)</f>
        <v>920334</v>
      </c>
      <c r="AH6" s="25">
        <f ca="1">OFFSET(AH$4,ROW($B6)-ROW($B$4),-1,1,1)-OFFSET(Forecast!$B$69,0,COLUMN(AH$4)-COLUMN($C$4),1,1)-OFFSET(Forecast!$B$58,0,COLUMN(AH$4)-COLUMN($C$4),1,1)</f>
        <v>903534</v>
      </c>
      <c r="AI6" s="25">
        <f ca="1">OFFSET(AI$4,ROW($B6)-ROW($B$4),-1,1,1)-OFFSET(Forecast!$B$69,0,COLUMN(AI$4)-COLUMN($C$4),1,1)-OFFSET(Forecast!$B$58,0,COLUMN(AI$4)-COLUMN($C$4),1,1)</f>
        <v>903534</v>
      </c>
      <c r="AJ6" s="25">
        <f ca="1">OFFSET(AJ$4,ROW($B6)-ROW($B$4),-1,1,1)-OFFSET(Forecast!$B$69,0,COLUMN(AJ$4)-COLUMN($C$4),1,1)-OFFSET(Forecast!$B$58,0,COLUMN(AJ$4)-COLUMN($C$4),1,1)</f>
        <v>903534</v>
      </c>
      <c r="AK6" s="25">
        <f ca="1">OFFSET(AK$4,ROW($B6)-ROW($B$4),-1,1,1)-OFFSET(Forecast!$B$69,0,COLUMN(AK$4)-COLUMN($C$4),1,1)-OFFSET(Forecast!$B$58,0,COLUMN(AK$4)-COLUMN($C$4),1,1)</f>
        <v>903534</v>
      </c>
      <c r="AL6" s="25">
        <f ca="1">OFFSET(AL$4,ROW($B6)-ROW($B$4),-1,1,1)-OFFSET(Forecast!$B$69,0,COLUMN(AL$4)-COLUMN($C$4),1,1)-OFFSET(Forecast!$B$58,0,COLUMN(AL$4)-COLUMN($C$4),1,1)</f>
        <v>886734</v>
      </c>
      <c r="AM6" s="25">
        <f ca="1">OFFSET(AM$4,ROW($B6)-ROW($B$4),-1,1,1)-OFFSET(Forecast!$B$69,0,COLUMN(AM$4)-COLUMN($C$4),1,1)-OFFSET(Forecast!$B$58,0,COLUMN(AM$4)-COLUMN($C$4),1,1)</f>
        <v>886734</v>
      </c>
      <c r="AN6" s="25">
        <f ca="1">OFFSET(AN$4,ROW($B6)-ROW($B$4),-1,1,1)-OFFSET(Forecast!$B$69,0,COLUMN(AN$4)-COLUMN($C$4),1,1)-OFFSET(Forecast!$B$58,0,COLUMN(AN$4)-COLUMN($C$4),1,1)</f>
        <v>886734</v>
      </c>
      <c r="AO6" s="25">
        <f ca="1">OFFSET(AO$4,ROW($B6)-ROW($B$4),-1,1,1)-OFFSET(Forecast!$B$69,0,COLUMN(AO$4)-COLUMN($C$4),1,1)-OFFSET(Forecast!$B$58,0,COLUMN(AO$4)-COLUMN($C$4),1,1)</f>
        <v>886734</v>
      </c>
      <c r="AP6" s="25">
        <f ca="1">OFFSET(AP$4,ROW($B6)-ROW($B$4),-1,1,1)-OFFSET(Forecast!$B$69,0,COLUMN(AP$4)-COLUMN($C$4),1,1)-OFFSET(Forecast!$B$58,0,COLUMN(AP$4)-COLUMN($C$4),1,1)</f>
        <v>869934</v>
      </c>
      <c r="AQ6" s="25">
        <f ca="1">OFFSET(AQ$4,ROW($B6)-ROW($B$4),-1,1,1)-OFFSET(Forecast!$B$69,0,COLUMN(AQ$4)-COLUMN($C$4),1,1)-OFFSET(Forecast!$B$58,0,COLUMN(AQ$4)-COLUMN($C$4),1,1)</f>
        <v>869934</v>
      </c>
      <c r="AR6" s="25">
        <f ca="1">OFFSET(AR$4,ROW($B6)-ROW($B$4),-1,1,1)-OFFSET(Forecast!$B$69,0,COLUMN(AR$4)-COLUMN($C$4),1,1)-OFFSET(Forecast!$B$58,0,COLUMN(AR$4)-COLUMN($C$4),1,1)</f>
        <v>869934</v>
      </c>
      <c r="AS6" s="25">
        <f ca="1">OFFSET(AS$4,ROW($B6)-ROW($B$4),-1,1,1)-OFFSET(Forecast!$B$69,0,COLUMN(AS$4)-COLUMN($C$4),1,1)-OFFSET(Forecast!$B$58,0,COLUMN(AS$4)-COLUMN($C$4),1,1)</f>
        <v>869934</v>
      </c>
      <c r="AT6" s="25">
        <f ca="1">OFFSET(AT$4,ROW($B6)-ROW($B$4),-1,1,1)-OFFSET(Forecast!$B$69,0,COLUMN(AT$4)-COLUMN($C$4),1,1)-OFFSET(Forecast!$B$58,0,COLUMN(AT$4)-COLUMN($C$4),1,1)</f>
        <v>869934</v>
      </c>
      <c r="AU6" s="25">
        <f ca="1">OFFSET(AU$4,ROW($B6)-ROW($B$4),-1,1,1)-OFFSET(Forecast!$B$69,0,COLUMN(AU$4)-COLUMN($C$4),1,1)-OFFSET(Forecast!$B$58,0,COLUMN(AU$4)-COLUMN($C$4),1,1)</f>
        <v>853134</v>
      </c>
      <c r="AV6" s="25">
        <f ca="1">OFFSET(AV$4,ROW($B6)-ROW($B$4),-1,1,1)-OFFSET(Forecast!$B$69,0,COLUMN(AV$4)-COLUMN($C$4),1,1)-OFFSET(Forecast!$B$58,0,COLUMN(AV$4)-COLUMN($C$4),1,1)</f>
        <v>853134</v>
      </c>
      <c r="AW6" s="25">
        <f ca="1">OFFSET(AW$4,ROW($B6)-ROW($B$4),-1,1,1)-OFFSET(Forecast!$B$69,0,COLUMN(AW$4)-COLUMN($C$4),1,1)-OFFSET(Forecast!$B$58,0,COLUMN(AW$4)-COLUMN($C$4),1,1)</f>
        <v>877134</v>
      </c>
      <c r="AX6" s="25">
        <f ca="1">OFFSET(AX$4,ROW($B6)-ROW($B$4),-1,1,1)-OFFSET(Forecast!$B$69,0,COLUMN(AX$4)-COLUMN($C$4),1,1)-OFFSET(Forecast!$B$58,0,COLUMN(AX$4)-COLUMN($C$4),1,1)</f>
        <v>877134</v>
      </c>
      <c r="AY6" s="25">
        <f ca="1">OFFSET(AY$4,ROW($B6)-ROW($B$4),-1,1,1)-OFFSET(Forecast!$B$69,0,COLUMN(AY$4)-COLUMN($C$4),1,1)-OFFSET(Forecast!$B$58,0,COLUMN(AY$4)-COLUMN($C$4),1,1)</f>
        <v>859934</v>
      </c>
      <c r="AZ6" s="25">
        <f ca="1">OFFSET(AZ$4,ROW($B6)-ROW($B$4),-1,1,1)-OFFSET(Forecast!$B$69,0,COLUMN(AZ$4)-COLUMN($C$4),1,1)-OFFSET(Forecast!$B$58,0,COLUMN(AZ$4)-COLUMN($C$4),1,1)</f>
        <v>859934</v>
      </c>
      <c r="BA6" s="25">
        <f ca="1">OFFSET(BA$4,ROW($B6)-ROW($B$4),-1,1,1)-OFFSET(Forecast!$B$69,0,COLUMN(BA$4)-COLUMN($C$4),1,1)-OFFSET(Forecast!$B$58,0,COLUMN(BA$4)-COLUMN($C$4),1,1)</f>
        <v>859934</v>
      </c>
      <c r="BB6" s="25">
        <f ca="1">OFFSET(BB$4,ROW($B6)-ROW($B$4),-1,1,1)-OFFSET(Forecast!$B$69,0,COLUMN(BB$4)-COLUMN($C$4),1,1)-OFFSET(Forecast!$B$58,0,COLUMN(BB$4)-COLUMN($C$4),1,1)</f>
        <v>859934</v>
      </c>
      <c r="BC6" s="25">
        <f ca="1">OFFSET(BC$4,ROW($B6)-ROW($B$4),-1,1,1)-OFFSET(Forecast!$B$69,0,COLUMN(BC$4)-COLUMN($C$4),1,1)-OFFSET(Forecast!$B$58,0,COLUMN(BC$4)-COLUMN($C$4),1,1)</f>
        <v>842734</v>
      </c>
      <c r="BD6" s="25">
        <f ca="1">OFFSET($B6,0,Assumptions!$B$7+1,1,1)</f>
        <v>858334</v>
      </c>
      <c r="BE6" s="25">
        <f ca="1">OFFSET($B6,0,SUM(Assumptions!$B$7:$B$8)+1,1,1)</f>
        <v>872334</v>
      </c>
      <c r="BF6" s="25">
        <f ca="1">OFFSET($B6,0,SUM(Assumptions!$B$7:$B$9)+1,1,1)</f>
        <v>869934</v>
      </c>
      <c r="BG6" s="25">
        <f ca="1">OFFSET($B6,0,SUM(Assumptions!$B$7:$B$10)+1,1,1)</f>
        <v>842734</v>
      </c>
      <c r="BH6" s="25">
        <f ca="1">BG6</f>
        <v>842734</v>
      </c>
    </row>
    <row r="7" spans="2:60" ht="15" customHeight="1" x14ac:dyDescent="0.35">
      <c r="B7" s="19" t="s">
        <v>36</v>
      </c>
      <c r="C7" s="25"/>
      <c r="D7" s="25"/>
      <c r="E7" s="25"/>
      <c r="F7" s="25"/>
      <c r="G7" s="25"/>
      <c r="H7" s="25"/>
      <c r="I7" s="2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2:60" ht="15" customHeight="1" x14ac:dyDescent="0.3">
      <c r="B8" s="15" t="s">
        <v>28</v>
      </c>
      <c r="C8" s="25">
        <f>Assumptions!$B$23</f>
        <v>140000</v>
      </c>
      <c r="D8" s="85">
        <f ca="1">IF(ROUNDDOWN(Assumptions!$B$18/7,0)=0,0,IF(COLUMN(D$4)-3&lt;=ROUNDDOWN(Assumptions!$B$18/7,0),SUM(OFFSET(Forecast!$B$7,0,MAX(1,COLUMN(D$4)-COLUMN($C$4)-ROUNDDOWN(Assumptions!$B$18/7,0)+1),1,MIN(COLUMN(D$4)-3,ROUNDDOWN(Assumptions!$B$18/7,0))))/(MIN(COLUMN(D$4)-3,ROUNDDOWN(Assumptions!$B$18/7,0))*7)*Assumptions!$B$18,SUM(OFFSET(Forecast!$B$7,0,MAX(1,COLUMN(D$4)-COLUMN($C$4)-ROUNDDOWN(Assumptions!$B$18/7,0)+1),1,MIN(COLUMN(D$4)-3,ROUNDDOWN(Assumptions!$B$18/7,0))))))+IF(Assumptions!$B$18/7&gt;ROUNDDOWN(Assumptions!$B$18/7,0),IF(COLUMN(D$4)-3&lt;ROUNDDOWN(Assumptions!$B$18/7,0)+1,0,SUM(OFFSET(Forecast!$B$7,0,MAX(1,COLUMN(D$4)-COLUMN($C$4)-ROUNDDOWN(Assumptions!$B$18/7,0)),1,1))/7*(Assumptions!$B$18-(ROUNDDOWN(Assumptions!$B$18/7,0)*7))),0)</f>
        <v>174107.14285714287</v>
      </c>
      <c r="E8" s="25">
        <f ca="1">IF(ROUNDDOWN(Assumptions!$B$18/7,0)=0,0,IF(COLUMN(E$4)-3&lt;=ROUNDDOWN(Assumptions!$B$18/7,0),SUM(OFFSET(Forecast!$B$7,0,MAX(1,COLUMN(E$4)-COLUMN($C$4)-ROUNDDOWN(Assumptions!$B$18/7,0)+1),1,MIN(COLUMN(E$4)-3,ROUNDDOWN(Assumptions!$B$18/7,0))))/(MIN(COLUMN(E$4)-3,ROUNDDOWN(Assumptions!$B$18/7,0))*7)*Assumptions!$B$18,SUM(OFFSET(Forecast!$B$7,0,MAX(1,COLUMN(E$4)-COLUMN($C$4)-ROUNDDOWN(Assumptions!$B$18/7,0)+1),1,MIN(COLUMN(E$4)-3,ROUNDDOWN(Assumptions!$B$18/7,0))))))+IF(Assumptions!$B$18/7&gt;ROUNDDOWN(Assumptions!$B$18/7,0),IF(COLUMN(E$4)-3&lt;ROUNDDOWN(Assumptions!$B$18/7,0)+1,0,SUM(OFFSET(Forecast!$B$7,0,MAX(1,COLUMN(E$4)-COLUMN($C$4)-ROUNDDOWN(Assumptions!$B$18/7,0)),1,1))/7*(Assumptions!$B$18-(ROUNDDOWN(Assumptions!$B$18/7,0)*7))),0)</f>
        <v>160539.28571428571</v>
      </c>
      <c r="F8" s="25">
        <f ca="1">IF(ROUNDDOWN(Assumptions!$B$18/7,0)=0,0,IF(COLUMN(F$4)-3&lt;=ROUNDDOWN(Assumptions!$B$18/7,0),SUM(OFFSET(Forecast!$B$7,0,MAX(1,COLUMN(F$4)-COLUMN($C$4)-ROUNDDOWN(Assumptions!$B$18/7,0)+1),1,MIN(COLUMN(F$4)-3,ROUNDDOWN(Assumptions!$B$18/7,0))))/(MIN(COLUMN(F$4)-3,ROUNDDOWN(Assumptions!$B$18/7,0))*7)*Assumptions!$B$18,SUM(OFFSET(Forecast!$B$7,0,MAX(1,COLUMN(F$4)-COLUMN($C$4)-ROUNDDOWN(Assumptions!$B$18/7,0)+1),1,MIN(COLUMN(F$4)-3,ROUNDDOWN(Assumptions!$B$18/7,0))))))+IF(Assumptions!$B$18/7&gt;ROUNDDOWN(Assumptions!$B$18/7,0),IF(COLUMN(F$4)-3&lt;ROUNDDOWN(Assumptions!$B$18/7,0)+1,0,SUM(OFFSET(Forecast!$B$7,0,MAX(1,COLUMN(F$4)-COLUMN($C$4)-ROUNDDOWN(Assumptions!$B$18/7,0)),1,1))/7*(Assumptions!$B$18-(ROUNDDOWN(Assumptions!$B$18/7,0)*7))),0)</f>
        <v>168930.9523809524</v>
      </c>
      <c r="G8" s="25">
        <f ca="1">IF(ROUNDDOWN(Assumptions!$B$18/7,0)=0,0,IF(COLUMN(G$4)-3&lt;=ROUNDDOWN(Assumptions!$B$18/7,0),SUM(OFFSET(Forecast!$B$7,0,MAX(1,COLUMN(G$4)-COLUMN($C$4)-ROUNDDOWN(Assumptions!$B$18/7,0)+1),1,MIN(COLUMN(G$4)-3,ROUNDDOWN(Assumptions!$B$18/7,0))))/(MIN(COLUMN(G$4)-3,ROUNDDOWN(Assumptions!$B$18/7,0))*7)*Assumptions!$B$18,SUM(OFFSET(Forecast!$B$7,0,MAX(1,COLUMN(G$4)-COLUMN($C$4)-ROUNDDOWN(Assumptions!$B$18/7,0)+1),1,MIN(COLUMN(G$4)-3,ROUNDDOWN(Assumptions!$B$18/7,0))))))+IF(Assumptions!$B$18/7&gt;ROUNDDOWN(Assumptions!$B$18/7,0),IF(COLUMN(G$4)-3&lt;ROUNDDOWN(Assumptions!$B$18/7,0)+1,0,SUM(OFFSET(Forecast!$B$7,0,MAX(1,COLUMN(G$4)-COLUMN($C$4)-ROUNDDOWN(Assumptions!$B$18/7,0)),1,1))/7*(Assumptions!$B$18-(ROUNDDOWN(Assumptions!$B$18/7,0)*7))),0)</f>
        <v>174309.14285714287</v>
      </c>
      <c r="H8" s="25">
        <f ca="1">IF(ROUNDDOWN(Assumptions!$B$18/7,0)=0,0,IF(COLUMN(H$4)-3&lt;=ROUNDDOWN(Assumptions!$B$18/7,0),SUM(OFFSET(Forecast!$B$7,0,MAX(1,COLUMN(H$4)-COLUMN($C$4)-ROUNDDOWN(Assumptions!$B$18/7,0)+1),1,MIN(COLUMN(H$4)-3,ROUNDDOWN(Assumptions!$B$18/7,0))))/(MIN(COLUMN(H$4)-3,ROUNDDOWN(Assumptions!$B$18/7,0))*7)*Assumptions!$B$18,SUM(OFFSET(Forecast!$B$7,0,MAX(1,COLUMN(H$4)-COLUMN($C$4)-ROUNDDOWN(Assumptions!$B$18/7,0)+1),1,MIN(COLUMN(H$4)-3,ROUNDDOWN(Assumptions!$B$18/7,0))))))+IF(Assumptions!$B$18/7&gt;ROUNDDOWN(Assumptions!$B$18/7,0),IF(COLUMN(H$4)-3&lt;ROUNDDOWN(Assumptions!$B$18/7,0)+1,0,SUM(OFFSET(Forecast!$B$7,0,MAX(1,COLUMN(H$4)-COLUMN($C$4)-ROUNDDOWN(Assumptions!$B$18/7,0)),1,1))/7*(Assumptions!$B$18-(ROUNDDOWN(Assumptions!$B$18/7,0)*7))),0)</f>
        <v>180175.42857142858</v>
      </c>
      <c r="I8" s="25">
        <f ca="1">IF(ROUNDDOWN(Assumptions!$B$18/7,0)=0,0,IF(COLUMN(I$4)-3&lt;=ROUNDDOWN(Assumptions!$B$18/7,0),SUM(OFFSET(Forecast!$B$7,0,MAX(1,COLUMN(I$4)-COLUMN($C$4)-ROUNDDOWN(Assumptions!$B$18/7,0)+1),1,MIN(COLUMN(I$4)-3,ROUNDDOWN(Assumptions!$B$18/7,0))))/(MIN(COLUMN(I$4)-3,ROUNDDOWN(Assumptions!$B$18/7,0))*7)*Assumptions!$B$18,SUM(OFFSET(Forecast!$B$7,0,MAX(1,COLUMN(I$4)-COLUMN($C$4)-ROUNDDOWN(Assumptions!$B$18/7,0)+1),1,MIN(COLUMN(I$4)-3,ROUNDDOWN(Assumptions!$B$18/7,0))))))+IF(Assumptions!$B$18/7&gt;ROUNDDOWN(Assumptions!$B$18/7,0),IF(COLUMN(I$4)-3&lt;ROUNDDOWN(Assumptions!$B$18/7,0)+1,0,SUM(OFFSET(Forecast!$B$7,0,MAX(1,COLUMN(I$4)-COLUMN($C$4)-ROUNDDOWN(Assumptions!$B$18/7,0)),1,1))/7*(Assumptions!$B$18-(ROUNDDOWN(Assumptions!$B$18/7,0)*7))),0)</f>
        <v>182411.78571428571</v>
      </c>
      <c r="J8" s="25">
        <f ca="1">IF(ROUNDDOWN(Assumptions!$B$18/7,0)=0,0,IF(COLUMN(J$4)-3&lt;=ROUNDDOWN(Assumptions!$B$18/7,0),SUM(OFFSET(Forecast!$B$7,0,MAX(1,COLUMN(J$4)-COLUMN($C$4)-ROUNDDOWN(Assumptions!$B$18/7,0)+1),1,MIN(COLUMN(J$4)-3,ROUNDDOWN(Assumptions!$B$18/7,0))))/(MIN(COLUMN(J$4)-3,ROUNDDOWN(Assumptions!$B$18/7,0))*7)*Assumptions!$B$18,SUM(OFFSET(Forecast!$B$7,0,MAX(1,COLUMN(J$4)-COLUMN($C$4)-ROUNDDOWN(Assumptions!$B$18/7,0)+1),1,MIN(COLUMN(J$4)-3,ROUNDDOWN(Assumptions!$B$18/7,0))))))+IF(Assumptions!$B$18/7&gt;ROUNDDOWN(Assumptions!$B$18/7,0),IF(COLUMN(J$4)-3&lt;ROUNDDOWN(Assumptions!$B$18/7,0)+1,0,SUM(OFFSET(Forecast!$B$7,0,MAX(1,COLUMN(J$4)-COLUMN($C$4)-ROUNDDOWN(Assumptions!$B$18/7,0)),1,1))/7*(Assumptions!$B$18-(ROUNDDOWN(Assumptions!$B$18/7,0)*7))),0)</f>
        <v>172852.14285714287</v>
      </c>
      <c r="K8" s="25">
        <f ca="1">IF(ROUNDDOWN(Assumptions!$B$18/7,0)=0,0,IF(COLUMN(K$4)-3&lt;=ROUNDDOWN(Assumptions!$B$18/7,0),SUM(OFFSET(Forecast!$B$7,0,MAX(1,COLUMN(K$4)-COLUMN($C$4)-ROUNDDOWN(Assumptions!$B$18/7,0)+1),1,MIN(COLUMN(K$4)-3,ROUNDDOWN(Assumptions!$B$18/7,0))))/(MIN(COLUMN(K$4)-3,ROUNDDOWN(Assumptions!$B$18/7,0))*7)*Assumptions!$B$18,SUM(OFFSET(Forecast!$B$7,0,MAX(1,COLUMN(K$4)-COLUMN($C$4)-ROUNDDOWN(Assumptions!$B$18/7,0)+1),1,MIN(COLUMN(K$4)-3,ROUNDDOWN(Assumptions!$B$18/7,0))))))+IF(Assumptions!$B$18/7&gt;ROUNDDOWN(Assumptions!$B$18/7,0),IF(COLUMN(K$4)-3&lt;ROUNDDOWN(Assumptions!$B$18/7,0)+1,0,SUM(OFFSET(Forecast!$B$7,0,MAX(1,COLUMN(K$4)-COLUMN($C$4)-ROUNDDOWN(Assumptions!$B$18/7,0)),1,1))/7*(Assumptions!$B$18-(ROUNDDOWN(Assumptions!$B$18/7,0)*7))),0)</f>
        <v>169996.07142857142</v>
      </c>
      <c r="L8" s="25">
        <f ca="1">IF(ROUNDDOWN(Assumptions!$B$18/7,0)=0,0,IF(COLUMN(L$4)-3&lt;=ROUNDDOWN(Assumptions!$B$18/7,0),SUM(OFFSET(Forecast!$B$7,0,MAX(1,COLUMN(L$4)-COLUMN($C$4)-ROUNDDOWN(Assumptions!$B$18/7,0)+1),1,MIN(COLUMN(L$4)-3,ROUNDDOWN(Assumptions!$B$18/7,0))))/(MIN(COLUMN(L$4)-3,ROUNDDOWN(Assumptions!$B$18/7,0))*7)*Assumptions!$B$18,SUM(OFFSET(Forecast!$B$7,0,MAX(1,COLUMN(L$4)-COLUMN($C$4)-ROUNDDOWN(Assumptions!$B$18/7,0)+1),1,MIN(COLUMN(L$4)-3,ROUNDDOWN(Assumptions!$B$18/7,0))))))+IF(Assumptions!$B$18/7&gt;ROUNDDOWN(Assumptions!$B$18/7,0),IF(COLUMN(L$4)-3&lt;ROUNDDOWN(Assumptions!$B$18/7,0)+1,0,SUM(OFFSET(Forecast!$B$7,0,MAX(1,COLUMN(L$4)-COLUMN($C$4)-ROUNDDOWN(Assumptions!$B$18/7,0)),1,1))/7*(Assumptions!$B$18-(ROUNDDOWN(Assumptions!$B$18/7,0)*7))),0)</f>
        <v>167310</v>
      </c>
      <c r="M8" s="25">
        <f ca="1">IF(ROUNDDOWN(Assumptions!$B$18/7,0)=0,0,IF(COLUMN(M$4)-3&lt;=ROUNDDOWN(Assumptions!$B$18/7,0),SUM(OFFSET(Forecast!$B$7,0,MAX(1,COLUMN(M$4)-COLUMN($C$4)-ROUNDDOWN(Assumptions!$B$18/7,0)+1),1,MIN(COLUMN(M$4)-3,ROUNDDOWN(Assumptions!$B$18/7,0))))/(MIN(COLUMN(M$4)-3,ROUNDDOWN(Assumptions!$B$18/7,0))*7)*Assumptions!$B$18,SUM(OFFSET(Forecast!$B$7,0,MAX(1,COLUMN(M$4)-COLUMN($C$4)-ROUNDDOWN(Assumptions!$B$18/7,0)+1),1,MIN(COLUMN(M$4)-3,ROUNDDOWN(Assumptions!$B$18/7,0))))))+IF(Assumptions!$B$18/7&gt;ROUNDDOWN(Assumptions!$B$18/7,0),IF(COLUMN(M$4)-3&lt;ROUNDDOWN(Assumptions!$B$18/7,0)+1,0,SUM(OFFSET(Forecast!$B$7,0,MAX(1,COLUMN(M$4)-COLUMN($C$4)-ROUNDDOWN(Assumptions!$B$18/7,0)),1,1))/7*(Assumptions!$B$18-(ROUNDDOWN(Assumptions!$B$18/7,0)*7))),0)</f>
        <v>171832.5</v>
      </c>
      <c r="N8" s="25">
        <f ca="1">IF(ROUNDDOWN(Assumptions!$B$18/7,0)=0,0,IF(COLUMN(N$4)-3&lt;=ROUNDDOWN(Assumptions!$B$18/7,0),SUM(OFFSET(Forecast!$B$7,0,MAX(1,COLUMN(N$4)-COLUMN($C$4)-ROUNDDOWN(Assumptions!$B$18/7,0)+1),1,MIN(COLUMN(N$4)-3,ROUNDDOWN(Assumptions!$B$18/7,0))))/(MIN(COLUMN(N$4)-3,ROUNDDOWN(Assumptions!$B$18/7,0))*7)*Assumptions!$B$18,SUM(OFFSET(Forecast!$B$7,0,MAX(1,COLUMN(N$4)-COLUMN($C$4)-ROUNDDOWN(Assumptions!$B$18/7,0)+1),1,MIN(COLUMN(N$4)-3,ROUNDDOWN(Assumptions!$B$18/7,0))))))+IF(Assumptions!$B$18/7&gt;ROUNDDOWN(Assumptions!$B$18/7,0),IF(COLUMN(N$4)-3&lt;ROUNDDOWN(Assumptions!$B$18/7,0)+1,0,SUM(OFFSET(Forecast!$B$7,0,MAX(1,COLUMN(N$4)-COLUMN($C$4)-ROUNDDOWN(Assumptions!$B$18/7,0)),1,1))/7*(Assumptions!$B$18-(ROUNDDOWN(Assumptions!$B$18/7,0)*7))),0)</f>
        <v>177975</v>
      </c>
      <c r="O8" s="25">
        <f ca="1">IF(ROUNDDOWN(Assumptions!$B$18/7,0)=0,0,IF(COLUMN(O$4)-3&lt;=ROUNDDOWN(Assumptions!$B$18/7,0),SUM(OFFSET(Forecast!$B$7,0,MAX(1,COLUMN(O$4)-COLUMN($C$4)-ROUNDDOWN(Assumptions!$B$18/7,0)+1),1,MIN(COLUMN(O$4)-3,ROUNDDOWN(Assumptions!$B$18/7,0))))/(MIN(COLUMN(O$4)-3,ROUNDDOWN(Assumptions!$B$18/7,0))*7)*Assumptions!$B$18,SUM(OFFSET(Forecast!$B$7,0,MAX(1,COLUMN(O$4)-COLUMN($C$4)-ROUNDDOWN(Assumptions!$B$18/7,0)+1),1,MIN(COLUMN(O$4)-3,ROUNDDOWN(Assumptions!$B$18/7,0))))))+IF(Assumptions!$B$18/7&gt;ROUNDDOWN(Assumptions!$B$18/7,0),IF(COLUMN(O$4)-3&lt;ROUNDDOWN(Assumptions!$B$18/7,0)+1,0,SUM(OFFSET(Forecast!$B$7,0,MAX(1,COLUMN(O$4)-COLUMN($C$4)-ROUNDDOWN(Assumptions!$B$18/7,0)),1,1))/7*(Assumptions!$B$18-(ROUNDDOWN(Assumptions!$B$18/7,0)*7))),0)</f>
        <v>181035</v>
      </c>
      <c r="P8" s="25">
        <f ca="1">IF(ROUNDDOWN(Assumptions!$B$18/7,0)=0,0,IF(COLUMN(P$4)-3&lt;=ROUNDDOWN(Assumptions!$B$18/7,0),SUM(OFFSET(Forecast!$B$7,0,MAX(1,COLUMN(P$4)-COLUMN($C$4)-ROUNDDOWN(Assumptions!$B$18/7,0)+1),1,MIN(COLUMN(P$4)-3,ROUNDDOWN(Assumptions!$B$18/7,0))))/(MIN(COLUMN(P$4)-3,ROUNDDOWN(Assumptions!$B$18/7,0))*7)*Assumptions!$B$18,SUM(OFFSET(Forecast!$B$7,0,MAX(1,COLUMN(P$4)-COLUMN($C$4)-ROUNDDOWN(Assumptions!$B$18/7,0)+1),1,MIN(COLUMN(P$4)-3,ROUNDDOWN(Assumptions!$B$18/7,0))))))+IF(Assumptions!$B$18/7&gt;ROUNDDOWN(Assumptions!$B$18/7,0),IF(COLUMN(P$4)-3&lt;ROUNDDOWN(Assumptions!$B$18/7,0)+1,0,SUM(OFFSET(Forecast!$B$7,0,MAX(1,COLUMN(P$4)-COLUMN($C$4)-ROUNDDOWN(Assumptions!$B$18/7,0)),1,1))/7*(Assumptions!$B$18-(ROUNDDOWN(Assumptions!$B$18/7,0)*7))),0)</f>
        <v>181260</v>
      </c>
      <c r="Q8" s="25">
        <f ca="1">IF(ROUNDDOWN(Assumptions!$B$18/7,0)=0,0,IF(COLUMN(Q$4)-3&lt;=ROUNDDOWN(Assumptions!$B$18/7,0),SUM(OFFSET(Forecast!$B$7,0,MAX(1,COLUMN(Q$4)-COLUMN($C$4)-ROUNDDOWN(Assumptions!$B$18/7,0)+1),1,MIN(COLUMN(Q$4)-3,ROUNDDOWN(Assumptions!$B$18/7,0))))/(MIN(COLUMN(Q$4)-3,ROUNDDOWN(Assumptions!$B$18/7,0))*7)*Assumptions!$B$18,SUM(OFFSET(Forecast!$B$7,0,MAX(1,COLUMN(Q$4)-COLUMN($C$4)-ROUNDDOWN(Assumptions!$B$18/7,0)+1),1,MIN(COLUMN(Q$4)-3,ROUNDDOWN(Assumptions!$B$18/7,0))))))+IF(Assumptions!$B$18/7&gt;ROUNDDOWN(Assumptions!$B$18/7,0),IF(COLUMN(Q$4)-3&lt;ROUNDDOWN(Assumptions!$B$18/7,0)+1,0,SUM(OFFSET(Forecast!$B$7,0,MAX(1,COLUMN(Q$4)-COLUMN($C$4)-ROUNDDOWN(Assumptions!$B$18/7,0)),1,1))/7*(Assumptions!$B$18-(ROUNDDOWN(Assumptions!$B$18/7,0)*7))),0)</f>
        <v>185310</v>
      </c>
      <c r="R8" s="25">
        <f ca="1">IF(ROUNDDOWN(Assumptions!$B$18/7,0)=0,0,IF(COLUMN(R$4)-3&lt;=ROUNDDOWN(Assumptions!$B$18/7,0),SUM(OFFSET(Forecast!$B$7,0,MAX(1,COLUMN(R$4)-COLUMN($C$4)-ROUNDDOWN(Assumptions!$B$18/7,0)+1),1,MIN(COLUMN(R$4)-3,ROUNDDOWN(Assumptions!$B$18/7,0))))/(MIN(COLUMN(R$4)-3,ROUNDDOWN(Assumptions!$B$18/7,0))*7)*Assumptions!$B$18,SUM(OFFSET(Forecast!$B$7,0,MAX(1,COLUMN(R$4)-COLUMN($C$4)-ROUNDDOWN(Assumptions!$B$18/7,0)+1),1,MIN(COLUMN(R$4)-3,ROUNDDOWN(Assumptions!$B$18/7,0))))))+IF(Assumptions!$B$18/7&gt;ROUNDDOWN(Assumptions!$B$18/7,0),IF(COLUMN(R$4)-3&lt;ROUNDDOWN(Assumptions!$B$18/7,0)+1,0,SUM(OFFSET(Forecast!$B$7,0,MAX(1,COLUMN(R$4)-COLUMN($C$4)-ROUNDDOWN(Assumptions!$B$18/7,0)),1,1))/7*(Assumptions!$B$18-(ROUNDDOWN(Assumptions!$B$18/7,0)*7))),0)</f>
        <v>183870</v>
      </c>
      <c r="S8" s="25">
        <f ca="1">IF(ROUNDDOWN(Assumptions!$B$18/7,0)=0,0,IF(COLUMN(S$4)-3&lt;=ROUNDDOWN(Assumptions!$B$18/7,0),SUM(OFFSET(Forecast!$B$7,0,MAX(1,COLUMN(S$4)-COLUMN($C$4)-ROUNDDOWN(Assumptions!$B$18/7,0)+1),1,MIN(COLUMN(S$4)-3,ROUNDDOWN(Assumptions!$B$18/7,0))))/(MIN(COLUMN(S$4)-3,ROUNDDOWN(Assumptions!$B$18/7,0))*7)*Assumptions!$B$18,SUM(OFFSET(Forecast!$B$7,0,MAX(1,COLUMN(S$4)-COLUMN($C$4)-ROUNDDOWN(Assumptions!$B$18/7,0)+1),1,MIN(COLUMN(S$4)-3,ROUNDDOWN(Assumptions!$B$18/7,0))))))+IF(Assumptions!$B$18/7&gt;ROUNDDOWN(Assumptions!$B$18/7,0),IF(COLUMN(S$4)-3&lt;ROUNDDOWN(Assumptions!$B$18/7,0)+1,0,SUM(OFFSET(Forecast!$B$7,0,MAX(1,COLUMN(S$4)-COLUMN($C$4)-ROUNDDOWN(Assumptions!$B$18/7,0)),1,1))/7*(Assumptions!$B$18-(ROUNDDOWN(Assumptions!$B$18/7,0)*7))),0)</f>
        <v>184297.5</v>
      </c>
      <c r="T8" s="25">
        <f ca="1">IF(ROUNDDOWN(Assumptions!$B$18/7,0)=0,0,IF(COLUMN(T$4)-3&lt;=ROUNDDOWN(Assumptions!$B$18/7,0),SUM(OFFSET(Forecast!$B$7,0,MAX(1,COLUMN(T$4)-COLUMN($C$4)-ROUNDDOWN(Assumptions!$B$18/7,0)+1),1,MIN(COLUMN(T$4)-3,ROUNDDOWN(Assumptions!$B$18/7,0))))/(MIN(COLUMN(T$4)-3,ROUNDDOWN(Assumptions!$B$18/7,0))*7)*Assumptions!$B$18,SUM(OFFSET(Forecast!$B$7,0,MAX(1,COLUMN(T$4)-COLUMN($C$4)-ROUNDDOWN(Assumptions!$B$18/7,0)+1),1,MIN(COLUMN(T$4)-3,ROUNDDOWN(Assumptions!$B$18/7,0))))))+IF(Assumptions!$B$18/7&gt;ROUNDDOWN(Assumptions!$B$18/7,0),IF(COLUMN(T$4)-3&lt;ROUNDDOWN(Assumptions!$B$18/7,0)+1,0,SUM(OFFSET(Forecast!$B$7,0,MAX(1,COLUMN(T$4)-COLUMN($C$4)-ROUNDDOWN(Assumptions!$B$18/7,0)),1,1))/7*(Assumptions!$B$18-(ROUNDDOWN(Assumptions!$B$18/7,0)*7))),0)</f>
        <v>187110</v>
      </c>
      <c r="U8" s="25">
        <f ca="1">IF(ROUNDDOWN(Assumptions!$B$18/7,0)=0,0,IF(COLUMN(U$4)-3&lt;=ROUNDDOWN(Assumptions!$B$18/7,0),SUM(OFFSET(Forecast!$B$7,0,MAX(1,COLUMN(U$4)-COLUMN($C$4)-ROUNDDOWN(Assumptions!$B$18/7,0)+1),1,MIN(COLUMN(U$4)-3,ROUNDDOWN(Assumptions!$B$18/7,0))))/(MIN(COLUMN(U$4)-3,ROUNDDOWN(Assumptions!$B$18/7,0))*7)*Assumptions!$B$18,SUM(OFFSET(Forecast!$B$7,0,MAX(1,COLUMN(U$4)-COLUMN($C$4)-ROUNDDOWN(Assumptions!$B$18/7,0)+1),1,MIN(COLUMN(U$4)-3,ROUNDDOWN(Assumptions!$B$18/7,0))))))+IF(Assumptions!$B$18/7&gt;ROUNDDOWN(Assumptions!$B$18/7,0),IF(COLUMN(U$4)-3&lt;ROUNDDOWN(Assumptions!$B$18/7,0)+1,0,SUM(OFFSET(Forecast!$B$7,0,MAX(1,COLUMN(U$4)-COLUMN($C$4)-ROUNDDOWN(Assumptions!$B$18/7,0)),1,1))/7*(Assumptions!$B$18-(ROUNDDOWN(Assumptions!$B$18/7,0)*7))),0)</f>
        <v>189765</v>
      </c>
      <c r="V8" s="25">
        <f ca="1">IF(ROUNDDOWN(Assumptions!$B$18/7,0)=0,0,IF(COLUMN(V$4)-3&lt;=ROUNDDOWN(Assumptions!$B$18/7,0),SUM(OFFSET(Forecast!$B$7,0,MAX(1,COLUMN(V$4)-COLUMN($C$4)-ROUNDDOWN(Assumptions!$B$18/7,0)+1),1,MIN(COLUMN(V$4)-3,ROUNDDOWN(Assumptions!$B$18/7,0))))/(MIN(COLUMN(V$4)-3,ROUNDDOWN(Assumptions!$B$18/7,0))*7)*Assumptions!$B$18,SUM(OFFSET(Forecast!$B$7,0,MAX(1,COLUMN(V$4)-COLUMN($C$4)-ROUNDDOWN(Assumptions!$B$18/7,0)+1),1,MIN(COLUMN(V$4)-3,ROUNDDOWN(Assumptions!$B$18/7,0))))))+IF(Assumptions!$B$18/7&gt;ROUNDDOWN(Assumptions!$B$18/7,0),IF(COLUMN(V$4)-3&lt;ROUNDDOWN(Assumptions!$B$18/7,0)+1,0,SUM(OFFSET(Forecast!$B$7,0,MAX(1,COLUMN(V$4)-COLUMN($C$4)-ROUNDDOWN(Assumptions!$B$18/7,0)),1,1))/7*(Assumptions!$B$18-(ROUNDDOWN(Assumptions!$B$18/7,0)*7))),0)</f>
        <v>193815</v>
      </c>
      <c r="W8" s="25">
        <f ca="1">IF(ROUNDDOWN(Assumptions!$B$18/7,0)=0,0,IF(COLUMN(W$4)-3&lt;=ROUNDDOWN(Assumptions!$B$18/7,0),SUM(OFFSET(Forecast!$B$7,0,MAX(1,COLUMN(W$4)-COLUMN($C$4)-ROUNDDOWN(Assumptions!$B$18/7,0)+1),1,MIN(COLUMN(W$4)-3,ROUNDDOWN(Assumptions!$B$18/7,0))))/(MIN(COLUMN(W$4)-3,ROUNDDOWN(Assumptions!$B$18/7,0))*7)*Assumptions!$B$18,SUM(OFFSET(Forecast!$B$7,0,MAX(1,COLUMN(W$4)-COLUMN($C$4)-ROUNDDOWN(Assumptions!$B$18/7,0)+1),1,MIN(COLUMN(W$4)-3,ROUNDDOWN(Assumptions!$B$18/7,0))))))+IF(Assumptions!$B$18/7&gt;ROUNDDOWN(Assumptions!$B$18/7,0),IF(COLUMN(W$4)-3&lt;ROUNDDOWN(Assumptions!$B$18/7,0)+1,0,SUM(OFFSET(Forecast!$B$7,0,MAX(1,COLUMN(W$4)-COLUMN($C$4)-ROUNDDOWN(Assumptions!$B$18/7,0)),1,1))/7*(Assumptions!$B$18-(ROUNDDOWN(Assumptions!$B$18/7,0)*7))),0)</f>
        <v>189507.5</v>
      </c>
      <c r="X8" s="25">
        <f ca="1">IF(ROUNDDOWN(Assumptions!$B$18/7,0)=0,0,IF(COLUMN(X$4)-3&lt;=ROUNDDOWN(Assumptions!$B$18/7,0),SUM(OFFSET(Forecast!$B$7,0,MAX(1,COLUMN(X$4)-COLUMN($C$4)-ROUNDDOWN(Assumptions!$B$18/7,0)+1),1,MIN(COLUMN(X$4)-3,ROUNDDOWN(Assumptions!$B$18/7,0))))/(MIN(COLUMN(X$4)-3,ROUNDDOWN(Assumptions!$B$18/7,0))*7)*Assumptions!$B$18,SUM(OFFSET(Forecast!$B$7,0,MAX(1,COLUMN(X$4)-COLUMN($C$4)-ROUNDDOWN(Assumptions!$B$18/7,0)+1),1,MIN(COLUMN(X$4)-3,ROUNDDOWN(Assumptions!$B$18/7,0))))))+IF(Assumptions!$B$18/7&gt;ROUNDDOWN(Assumptions!$B$18/7,0),IF(COLUMN(X$4)-3&lt;ROUNDDOWN(Assumptions!$B$18/7,0)+1,0,SUM(OFFSET(Forecast!$B$7,0,MAX(1,COLUMN(X$4)-COLUMN($C$4)-ROUNDDOWN(Assumptions!$B$18/7,0)),1,1))/7*(Assumptions!$B$18-(ROUNDDOWN(Assumptions!$B$18/7,0)*7))),0)</f>
        <v>183387.5</v>
      </c>
      <c r="Y8" s="25">
        <f ca="1">IF(ROUNDDOWN(Assumptions!$B$18/7,0)=0,0,IF(COLUMN(Y$4)-3&lt;=ROUNDDOWN(Assumptions!$B$18/7,0),SUM(OFFSET(Forecast!$B$7,0,MAX(1,COLUMN(Y$4)-COLUMN($C$4)-ROUNDDOWN(Assumptions!$B$18/7,0)+1),1,MIN(COLUMN(Y$4)-3,ROUNDDOWN(Assumptions!$B$18/7,0))))/(MIN(COLUMN(Y$4)-3,ROUNDDOWN(Assumptions!$B$18/7,0))*7)*Assumptions!$B$18,SUM(OFFSET(Forecast!$B$7,0,MAX(1,COLUMN(Y$4)-COLUMN($C$4)-ROUNDDOWN(Assumptions!$B$18/7,0)+1),1,MIN(COLUMN(Y$4)-3,ROUNDDOWN(Assumptions!$B$18/7,0))))))+IF(Assumptions!$B$18/7&gt;ROUNDDOWN(Assumptions!$B$18/7,0),IF(COLUMN(Y$4)-3&lt;ROUNDDOWN(Assumptions!$B$18/7,0)+1,0,SUM(OFFSET(Forecast!$B$7,0,MAX(1,COLUMN(Y$4)-COLUMN($C$4)-ROUNDDOWN(Assumptions!$B$18/7,0)),1,1))/7*(Assumptions!$B$18-(ROUNDDOWN(Assumptions!$B$18/7,0)*7))),0)</f>
        <v>182355</v>
      </c>
      <c r="Z8" s="25">
        <f ca="1">IF(ROUNDDOWN(Assumptions!$B$18/7,0)=0,0,IF(COLUMN(Z$4)-3&lt;=ROUNDDOWN(Assumptions!$B$18/7,0),SUM(OFFSET(Forecast!$B$7,0,MAX(1,COLUMN(Z$4)-COLUMN($C$4)-ROUNDDOWN(Assumptions!$B$18/7,0)+1),1,MIN(COLUMN(Z$4)-3,ROUNDDOWN(Assumptions!$B$18/7,0))))/(MIN(COLUMN(Z$4)-3,ROUNDDOWN(Assumptions!$B$18/7,0))*7)*Assumptions!$B$18,SUM(OFFSET(Forecast!$B$7,0,MAX(1,COLUMN(Z$4)-COLUMN($C$4)-ROUNDDOWN(Assumptions!$B$18/7,0)+1),1,MIN(COLUMN(Z$4)-3,ROUNDDOWN(Assumptions!$B$18/7,0))))))+IF(Assumptions!$B$18/7&gt;ROUNDDOWN(Assumptions!$B$18/7,0),IF(COLUMN(Z$4)-3&lt;ROUNDDOWN(Assumptions!$B$18/7,0)+1,0,SUM(OFFSET(Forecast!$B$7,0,MAX(1,COLUMN(Z$4)-COLUMN($C$4)-ROUNDDOWN(Assumptions!$B$18/7,0)),1,1))/7*(Assumptions!$B$18-(ROUNDDOWN(Assumptions!$B$18/7,0)*7))),0)</f>
        <v>182922.14285714287</v>
      </c>
      <c r="AA8" s="25">
        <f ca="1">IF(ROUNDDOWN(Assumptions!$B$18/7,0)=0,0,IF(COLUMN(AA$4)-3&lt;=ROUNDDOWN(Assumptions!$B$18/7,0),SUM(OFFSET(Forecast!$B$7,0,MAX(1,COLUMN(AA$4)-COLUMN($C$4)-ROUNDDOWN(Assumptions!$B$18/7,0)+1),1,MIN(COLUMN(AA$4)-3,ROUNDDOWN(Assumptions!$B$18/7,0))))/(MIN(COLUMN(AA$4)-3,ROUNDDOWN(Assumptions!$B$18/7,0))*7)*Assumptions!$B$18,SUM(OFFSET(Forecast!$B$7,0,MAX(1,COLUMN(AA$4)-COLUMN($C$4)-ROUNDDOWN(Assumptions!$B$18/7,0)+1),1,MIN(COLUMN(AA$4)-3,ROUNDDOWN(Assumptions!$B$18/7,0))))))+IF(Assumptions!$B$18/7&gt;ROUNDDOWN(Assumptions!$B$18/7,0),IF(COLUMN(AA$4)-3&lt;ROUNDDOWN(Assumptions!$B$18/7,0)+1,0,SUM(OFFSET(Forecast!$B$7,0,MAX(1,COLUMN(AA$4)-COLUMN($C$4)-ROUNDDOWN(Assumptions!$B$18/7,0)),1,1))/7*(Assumptions!$B$18-(ROUNDDOWN(Assumptions!$B$18/7,0)*7))),0)</f>
        <v>190650</v>
      </c>
      <c r="AB8" s="25">
        <f ca="1">IF(ROUNDDOWN(Assumptions!$B$18/7,0)=0,0,IF(COLUMN(AB$4)-3&lt;=ROUNDDOWN(Assumptions!$B$18/7,0),SUM(OFFSET(Forecast!$B$7,0,MAX(1,COLUMN(AB$4)-COLUMN($C$4)-ROUNDDOWN(Assumptions!$B$18/7,0)+1),1,MIN(COLUMN(AB$4)-3,ROUNDDOWN(Assumptions!$B$18/7,0))))/(MIN(COLUMN(AB$4)-3,ROUNDDOWN(Assumptions!$B$18/7,0))*7)*Assumptions!$B$18,SUM(OFFSET(Forecast!$B$7,0,MAX(1,COLUMN(AB$4)-COLUMN($C$4)-ROUNDDOWN(Assumptions!$B$18/7,0)+1),1,MIN(COLUMN(AB$4)-3,ROUNDDOWN(Assumptions!$B$18/7,0))))))+IF(Assumptions!$B$18/7&gt;ROUNDDOWN(Assumptions!$B$18/7,0),IF(COLUMN(AB$4)-3&lt;ROUNDDOWN(Assumptions!$B$18/7,0)+1,0,SUM(OFFSET(Forecast!$B$7,0,MAX(1,COLUMN(AB$4)-COLUMN($C$4)-ROUNDDOWN(Assumptions!$B$18/7,0)),1,1))/7*(Assumptions!$B$18-(ROUNDDOWN(Assumptions!$B$18/7,0)*7))),0)</f>
        <v>194835</v>
      </c>
      <c r="AC8" s="25">
        <f ca="1">IF(ROUNDDOWN(Assumptions!$B$18/7,0)=0,0,IF(COLUMN(AC$4)-3&lt;=ROUNDDOWN(Assumptions!$B$18/7,0),SUM(OFFSET(Forecast!$B$7,0,MAX(1,COLUMN(AC$4)-COLUMN($C$4)-ROUNDDOWN(Assumptions!$B$18/7,0)+1),1,MIN(COLUMN(AC$4)-3,ROUNDDOWN(Assumptions!$B$18/7,0))))/(MIN(COLUMN(AC$4)-3,ROUNDDOWN(Assumptions!$B$18/7,0))*7)*Assumptions!$B$18,SUM(OFFSET(Forecast!$B$7,0,MAX(1,COLUMN(AC$4)-COLUMN($C$4)-ROUNDDOWN(Assumptions!$B$18/7,0)+1),1,MIN(COLUMN(AC$4)-3,ROUNDDOWN(Assumptions!$B$18/7,0))))))+IF(Assumptions!$B$18/7&gt;ROUNDDOWN(Assumptions!$B$18/7,0),IF(COLUMN(AC$4)-3&lt;ROUNDDOWN(Assumptions!$B$18/7,0)+1,0,SUM(OFFSET(Forecast!$B$7,0,MAX(1,COLUMN(AC$4)-COLUMN($C$4)-ROUNDDOWN(Assumptions!$B$18/7,0)),1,1))/7*(Assumptions!$B$18-(ROUNDDOWN(Assumptions!$B$18/7,0)*7))),0)</f>
        <v>195214.64285714287</v>
      </c>
      <c r="AD8" s="25">
        <f ca="1">IF(ROUNDDOWN(Assumptions!$B$18/7,0)=0,0,IF(COLUMN(AD$4)-3&lt;=ROUNDDOWN(Assumptions!$B$18/7,0),SUM(OFFSET(Forecast!$B$7,0,MAX(1,COLUMN(AD$4)-COLUMN($C$4)-ROUNDDOWN(Assumptions!$B$18/7,0)+1),1,MIN(COLUMN(AD$4)-3,ROUNDDOWN(Assumptions!$B$18/7,0))))/(MIN(COLUMN(AD$4)-3,ROUNDDOWN(Assumptions!$B$18/7,0))*7)*Assumptions!$B$18,SUM(OFFSET(Forecast!$B$7,0,MAX(1,COLUMN(AD$4)-COLUMN($C$4)-ROUNDDOWN(Assumptions!$B$18/7,0)+1),1,MIN(COLUMN(AD$4)-3,ROUNDDOWN(Assumptions!$B$18/7,0))))))+IF(Assumptions!$B$18/7&gt;ROUNDDOWN(Assumptions!$B$18/7,0),IF(COLUMN(AD$4)-3&lt;ROUNDDOWN(Assumptions!$B$18/7,0)+1,0,SUM(OFFSET(Forecast!$B$7,0,MAX(1,COLUMN(AD$4)-COLUMN($C$4)-ROUNDDOWN(Assumptions!$B$18/7,0)),1,1))/7*(Assumptions!$B$18-(ROUNDDOWN(Assumptions!$B$18/7,0)*7))),0)</f>
        <v>195530.35714285713</v>
      </c>
      <c r="AE8" s="25">
        <f ca="1">IF(ROUNDDOWN(Assumptions!$B$18/7,0)=0,0,IF(COLUMN(AE$4)-3&lt;=ROUNDDOWN(Assumptions!$B$18/7,0),SUM(OFFSET(Forecast!$B$7,0,MAX(1,COLUMN(AE$4)-COLUMN($C$4)-ROUNDDOWN(Assumptions!$B$18/7,0)+1),1,MIN(COLUMN(AE$4)-3,ROUNDDOWN(Assumptions!$B$18/7,0))))/(MIN(COLUMN(AE$4)-3,ROUNDDOWN(Assumptions!$B$18/7,0))*7)*Assumptions!$B$18,SUM(OFFSET(Forecast!$B$7,0,MAX(1,COLUMN(AE$4)-COLUMN($C$4)-ROUNDDOWN(Assumptions!$B$18/7,0)+1),1,MIN(COLUMN(AE$4)-3,ROUNDDOWN(Assumptions!$B$18/7,0))))))+IF(Assumptions!$B$18/7&gt;ROUNDDOWN(Assumptions!$B$18/7,0),IF(COLUMN(AE$4)-3&lt;ROUNDDOWN(Assumptions!$B$18/7,0)+1,0,SUM(OFFSET(Forecast!$B$7,0,MAX(1,COLUMN(AE$4)-COLUMN($C$4)-ROUNDDOWN(Assumptions!$B$18/7,0)),1,1))/7*(Assumptions!$B$18-(ROUNDDOWN(Assumptions!$B$18/7,0)*7))),0)</f>
        <v>194952.5</v>
      </c>
      <c r="AF8" s="25">
        <f ca="1">IF(ROUNDDOWN(Assumptions!$B$18/7,0)=0,0,IF(COLUMN(AF$4)-3&lt;=ROUNDDOWN(Assumptions!$B$18/7,0),SUM(OFFSET(Forecast!$B$7,0,MAX(1,COLUMN(AF$4)-COLUMN($C$4)-ROUNDDOWN(Assumptions!$B$18/7,0)+1),1,MIN(COLUMN(AF$4)-3,ROUNDDOWN(Assumptions!$B$18/7,0))))/(MIN(COLUMN(AF$4)-3,ROUNDDOWN(Assumptions!$B$18/7,0))*7)*Assumptions!$B$18,SUM(OFFSET(Forecast!$B$7,0,MAX(1,COLUMN(AF$4)-COLUMN($C$4)-ROUNDDOWN(Assumptions!$B$18/7,0)+1),1,MIN(COLUMN(AF$4)-3,ROUNDDOWN(Assumptions!$B$18/7,0))))))+IF(Assumptions!$B$18/7&gt;ROUNDDOWN(Assumptions!$B$18/7,0),IF(COLUMN(AF$4)-3&lt;ROUNDDOWN(Assumptions!$B$18/7,0)+1,0,SUM(OFFSET(Forecast!$B$7,0,MAX(1,COLUMN(AF$4)-COLUMN($C$4)-ROUNDDOWN(Assumptions!$B$18/7,0)),1,1))/7*(Assumptions!$B$18-(ROUNDDOWN(Assumptions!$B$18/7,0)*7))),0)</f>
        <v>196061.42857142858</v>
      </c>
      <c r="AG8" s="25">
        <f ca="1">IF(ROUNDDOWN(Assumptions!$B$18/7,0)=0,0,IF(COLUMN(AG$4)-3&lt;=ROUNDDOWN(Assumptions!$B$18/7,0),SUM(OFFSET(Forecast!$B$7,0,MAX(1,COLUMN(AG$4)-COLUMN($C$4)-ROUNDDOWN(Assumptions!$B$18/7,0)+1),1,MIN(COLUMN(AG$4)-3,ROUNDDOWN(Assumptions!$B$18/7,0))))/(MIN(COLUMN(AG$4)-3,ROUNDDOWN(Assumptions!$B$18/7,0))*7)*Assumptions!$B$18,SUM(OFFSET(Forecast!$B$7,0,MAX(1,COLUMN(AG$4)-COLUMN($C$4)-ROUNDDOWN(Assumptions!$B$18/7,0)+1),1,MIN(COLUMN(AG$4)-3,ROUNDDOWN(Assumptions!$B$18/7,0))))))+IF(Assumptions!$B$18/7&gt;ROUNDDOWN(Assumptions!$B$18/7,0),IF(COLUMN(AG$4)-3&lt;ROUNDDOWN(Assumptions!$B$18/7,0)+1,0,SUM(OFFSET(Forecast!$B$7,0,MAX(1,COLUMN(AG$4)-COLUMN($C$4)-ROUNDDOWN(Assumptions!$B$18/7,0)),1,1))/7*(Assumptions!$B$18-(ROUNDDOWN(Assumptions!$B$18/7,0)*7))),0)</f>
        <v>194378.57142857142</v>
      </c>
      <c r="AH8" s="25">
        <f ca="1">IF(ROUNDDOWN(Assumptions!$B$18/7,0)=0,0,IF(COLUMN(AH$4)-3&lt;=ROUNDDOWN(Assumptions!$B$18/7,0),SUM(OFFSET(Forecast!$B$7,0,MAX(1,COLUMN(AH$4)-COLUMN($C$4)-ROUNDDOWN(Assumptions!$B$18/7,0)+1),1,MIN(COLUMN(AH$4)-3,ROUNDDOWN(Assumptions!$B$18/7,0))))/(MIN(COLUMN(AH$4)-3,ROUNDDOWN(Assumptions!$B$18/7,0))*7)*Assumptions!$B$18,SUM(OFFSET(Forecast!$B$7,0,MAX(1,COLUMN(AH$4)-COLUMN($C$4)-ROUNDDOWN(Assumptions!$B$18/7,0)+1),1,MIN(COLUMN(AH$4)-3,ROUNDDOWN(Assumptions!$B$18/7,0))))))+IF(Assumptions!$B$18/7&gt;ROUNDDOWN(Assumptions!$B$18/7,0),IF(COLUMN(AH$4)-3&lt;ROUNDDOWN(Assumptions!$B$18/7,0)+1,0,SUM(OFFSET(Forecast!$B$7,0,MAX(1,COLUMN(AH$4)-COLUMN($C$4)-ROUNDDOWN(Assumptions!$B$18/7,0)),1,1))/7*(Assumptions!$B$18-(ROUNDDOWN(Assumptions!$B$18/7,0)*7))),0)</f>
        <v>195192.85714285713</v>
      </c>
      <c r="AI8" s="25">
        <f ca="1">IF(ROUNDDOWN(Assumptions!$B$18/7,0)=0,0,IF(COLUMN(AI$4)-3&lt;=ROUNDDOWN(Assumptions!$B$18/7,0),SUM(OFFSET(Forecast!$B$7,0,MAX(1,COLUMN(AI$4)-COLUMN($C$4)-ROUNDDOWN(Assumptions!$B$18/7,0)+1),1,MIN(COLUMN(AI$4)-3,ROUNDDOWN(Assumptions!$B$18/7,0))))/(MIN(COLUMN(AI$4)-3,ROUNDDOWN(Assumptions!$B$18/7,0))*7)*Assumptions!$B$18,SUM(OFFSET(Forecast!$B$7,0,MAX(1,COLUMN(AI$4)-COLUMN($C$4)-ROUNDDOWN(Assumptions!$B$18/7,0)+1),1,MIN(COLUMN(AI$4)-3,ROUNDDOWN(Assumptions!$B$18/7,0))))))+IF(Assumptions!$B$18/7&gt;ROUNDDOWN(Assumptions!$B$18/7,0),IF(COLUMN(AI$4)-3&lt;ROUNDDOWN(Assumptions!$B$18/7,0)+1,0,SUM(OFFSET(Forecast!$B$7,0,MAX(1,COLUMN(AI$4)-COLUMN($C$4)-ROUNDDOWN(Assumptions!$B$18/7,0)),1,1))/7*(Assumptions!$B$18-(ROUNDDOWN(Assumptions!$B$18/7,0)*7))),0)</f>
        <v>194335.71428571429</v>
      </c>
      <c r="AJ8" s="25">
        <f ca="1">IF(ROUNDDOWN(Assumptions!$B$18/7,0)=0,0,IF(COLUMN(AJ$4)-3&lt;=ROUNDDOWN(Assumptions!$B$18/7,0),SUM(OFFSET(Forecast!$B$7,0,MAX(1,COLUMN(AJ$4)-COLUMN($C$4)-ROUNDDOWN(Assumptions!$B$18/7,0)+1),1,MIN(COLUMN(AJ$4)-3,ROUNDDOWN(Assumptions!$B$18/7,0))))/(MIN(COLUMN(AJ$4)-3,ROUNDDOWN(Assumptions!$B$18/7,0))*7)*Assumptions!$B$18,SUM(OFFSET(Forecast!$B$7,0,MAX(1,COLUMN(AJ$4)-COLUMN($C$4)-ROUNDDOWN(Assumptions!$B$18/7,0)+1),1,MIN(COLUMN(AJ$4)-3,ROUNDDOWN(Assumptions!$B$18/7,0))))))+IF(Assumptions!$B$18/7&gt;ROUNDDOWN(Assumptions!$B$18/7,0),IF(COLUMN(AJ$4)-3&lt;ROUNDDOWN(Assumptions!$B$18/7,0)+1,0,SUM(OFFSET(Forecast!$B$7,0,MAX(1,COLUMN(AJ$4)-COLUMN($C$4)-ROUNDDOWN(Assumptions!$B$18/7,0)),1,1))/7*(Assumptions!$B$18-(ROUNDDOWN(Assumptions!$B$18/7,0)*7))),0)</f>
        <v>197164.28571428571</v>
      </c>
      <c r="AK8" s="25">
        <f ca="1">IF(ROUNDDOWN(Assumptions!$B$18/7,0)=0,0,IF(COLUMN(AK$4)-3&lt;=ROUNDDOWN(Assumptions!$B$18/7,0),SUM(OFFSET(Forecast!$B$7,0,MAX(1,COLUMN(AK$4)-COLUMN($C$4)-ROUNDDOWN(Assumptions!$B$18/7,0)+1),1,MIN(COLUMN(AK$4)-3,ROUNDDOWN(Assumptions!$B$18/7,0))))/(MIN(COLUMN(AK$4)-3,ROUNDDOWN(Assumptions!$B$18/7,0))*7)*Assumptions!$B$18,SUM(OFFSET(Forecast!$B$7,0,MAX(1,COLUMN(AK$4)-COLUMN($C$4)-ROUNDDOWN(Assumptions!$B$18/7,0)+1),1,MIN(COLUMN(AK$4)-3,ROUNDDOWN(Assumptions!$B$18/7,0))))))+IF(Assumptions!$B$18/7&gt;ROUNDDOWN(Assumptions!$B$18/7,0),IF(COLUMN(AK$4)-3&lt;ROUNDDOWN(Assumptions!$B$18/7,0)+1,0,SUM(OFFSET(Forecast!$B$7,0,MAX(1,COLUMN(AK$4)-COLUMN($C$4)-ROUNDDOWN(Assumptions!$B$18/7,0)),1,1))/7*(Assumptions!$B$18-(ROUNDDOWN(Assumptions!$B$18/7,0)*7))),0)</f>
        <v>201814.28571428571</v>
      </c>
      <c r="AL8" s="25">
        <f ca="1">IF(ROUNDDOWN(Assumptions!$B$18/7,0)=0,0,IF(COLUMN(AL$4)-3&lt;=ROUNDDOWN(Assumptions!$B$18/7,0),SUM(OFFSET(Forecast!$B$7,0,MAX(1,COLUMN(AL$4)-COLUMN($C$4)-ROUNDDOWN(Assumptions!$B$18/7,0)+1),1,MIN(COLUMN(AL$4)-3,ROUNDDOWN(Assumptions!$B$18/7,0))))/(MIN(COLUMN(AL$4)-3,ROUNDDOWN(Assumptions!$B$18/7,0))*7)*Assumptions!$B$18,SUM(OFFSET(Forecast!$B$7,0,MAX(1,COLUMN(AL$4)-COLUMN($C$4)-ROUNDDOWN(Assumptions!$B$18/7,0)+1),1,MIN(COLUMN(AL$4)-3,ROUNDDOWN(Assumptions!$B$18/7,0))))))+IF(Assumptions!$B$18/7&gt;ROUNDDOWN(Assumptions!$B$18/7,0),IF(COLUMN(AL$4)-3&lt;ROUNDDOWN(Assumptions!$B$18/7,0)+1,0,SUM(OFFSET(Forecast!$B$7,0,MAX(1,COLUMN(AL$4)-COLUMN($C$4)-ROUNDDOWN(Assumptions!$B$18/7,0)),1,1))/7*(Assumptions!$B$18-(ROUNDDOWN(Assumptions!$B$18/7,0)*7))),0)</f>
        <v>202500</v>
      </c>
      <c r="AM8" s="25">
        <f ca="1">IF(ROUNDDOWN(Assumptions!$B$18/7,0)=0,0,IF(COLUMN(AM$4)-3&lt;=ROUNDDOWN(Assumptions!$B$18/7,0),SUM(OFFSET(Forecast!$B$7,0,MAX(1,COLUMN(AM$4)-COLUMN($C$4)-ROUNDDOWN(Assumptions!$B$18/7,0)+1),1,MIN(COLUMN(AM$4)-3,ROUNDDOWN(Assumptions!$B$18/7,0))))/(MIN(COLUMN(AM$4)-3,ROUNDDOWN(Assumptions!$B$18/7,0))*7)*Assumptions!$B$18,SUM(OFFSET(Forecast!$B$7,0,MAX(1,COLUMN(AM$4)-COLUMN($C$4)-ROUNDDOWN(Assumptions!$B$18/7,0)+1),1,MIN(COLUMN(AM$4)-3,ROUNDDOWN(Assumptions!$B$18/7,0))))))+IF(Assumptions!$B$18/7&gt;ROUNDDOWN(Assumptions!$B$18/7,0),IF(COLUMN(AM$4)-3&lt;ROUNDDOWN(Assumptions!$B$18/7,0)+1,0,SUM(OFFSET(Forecast!$B$7,0,MAX(1,COLUMN(AM$4)-COLUMN($C$4)-ROUNDDOWN(Assumptions!$B$18/7,0)),1,1))/7*(Assumptions!$B$18-(ROUNDDOWN(Assumptions!$B$18/7,0)*7))),0)</f>
        <v>203807.14285714287</v>
      </c>
      <c r="AN8" s="25">
        <f ca="1">IF(ROUNDDOWN(Assumptions!$B$18/7,0)=0,0,IF(COLUMN(AN$4)-3&lt;=ROUNDDOWN(Assumptions!$B$18/7,0),SUM(OFFSET(Forecast!$B$7,0,MAX(1,COLUMN(AN$4)-COLUMN($C$4)-ROUNDDOWN(Assumptions!$B$18/7,0)+1),1,MIN(COLUMN(AN$4)-3,ROUNDDOWN(Assumptions!$B$18/7,0))))/(MIN(COLUMN(AN$4)-3,ROUNDDOWN(Assumptions!$B$18/7,0))*7)*Assumptions!$B$18,SUM(OFFSET(Forecast!$B$7,0,MAX(1,COLUMN(AN$4)-COLUMN($C$4)-ROUNDDOWN(Assumptions!$B$18/7,0)+1),1,MIN(COLUMN(AN$4)-3,ROUNDDOWN(Assumptions!$B$18/7,0))))))+IF(Assumptions!$B$18/7&gt;ROUNDDOWN(Assumptions!$B$18/7,0),IF(COLUMN(AN$4)-3&lt;ROUNDDOWN(Assumptions!$B$18/7,0)+1,0,SUM(OFFSET(Forecast!$B$7,0,MAX(1,COLUMN(AN$4)-COLUMN($C$4)-ROUNDDOWN(Assumptions!$B$18/7,0)),1,1))/7*(Assumptions!$B$18-(ROUNDDOWN(Assumptions!$B$18/7,0)*7))),0)</f>
        <v>203892.85714285716</v>
      </c>
      <c r="AO8" s="25">
        <f ca="1">IF(ROUNDDOWN(Assumptions!$B$18/7,0)=0,0,IF(COLUMN(AO$4)-3&lt;=ROUNDDOWN(Assumptions!$B$18/7,0),SUM(OFFSET(Forecast!$B$7,0,MAX(1,COLUMN(AO$4)-COLUMN($C$4)-ROUNDDOWN(Assumptions!$B$18/7,0)+1),1,MIN(COLUMN(AO$4)-3,ROUNDDOWN(Assumptions!$B$18/7,0))))/(MIN(COLUMN(AO$4)-3,ROUNDDOWN(Assumptions!$B$18/7,0))*7)*Assumptions!$B$18,SUM(OFFSET(Forecast!$B$7,0,MAX(1,COLUMN(AO$4)-COLUMN($C$4)-ROUNDDOWN(Assumptions!$B$18/7,0)+1),1,MIN(COLUMN(AO$4)-3,ROUNDDOWN(Assumptions!$B$18/7,0))))))+IF(Assumptions!$B$18/7&gt;ROUNDDOWN(Assumptions!$B$18/7,0),IF(COLUMN(AO$4)-3&lt;ROUNDDOWN(Assumptions!$B$18/7,0)+1,0,SUM(OFFSET(Forecast!$B$7,0,MAX(1,COLUMN(AO$4)-COLUMN($C$4)-ROUNDDOWN(Assumptions!$B$18/7,0)),1,1))/7*(Assumptions!$B$18-(ROUNDDOWN(Assumptions!$B$18/7,0)*7))),0)</f>
        <v>202735.71428571429</v>
      </c>
      <c r="AP8" s="25">
        <f ca="1">IF(ROUNDDOWN(Assumptions!$B$18/7,0)=0,0,IF(COLUMN(AP$4)-3&lt;=ROUNDDOWN(Assumptions!$B$18/7,0),SUM(OFFSET(Forecast!$B$7,0,MAX(1,COLUMN(AP$4)-COLUMN($C$4)-ROUNDDOWN(Assumptions!$B$18/7,0)+1),1,MIN(COLUMN(AP$4)-3,ROUNDDOWN(Assumptions!$B$18/7,0))))/(MIN(COLUMN(AP$4)-3,ROUNDDOWN(Assumptions!$B$18/7,0))*7)*Assumptions!$B$18,SUM(OFFSET(Forecast!$B$7,0,MAX(1,COLUMN(AP$4)-COLUMN($C$4)-ROUNDDOWN(Assumptions!$B$18/7,0)+1),1,MIN(COLUMN(AP$4)-3,ROUNDDOWN(Assumptions!$B$18/7,0))))))+IF(Assumptions!$B$18/7&gt;ROUNDDOWN(Assumptions!$B$18/7,0),IF(COLUMN(AP$4)-3&lt;ROUNDDOWN(Assumptions!$B$18/7,0)+1,0,SUM(OFFSET(Forecast!$B$7,0,MAX(1,COLUMN(AP$4)-COLUMN($C$4)-ROUNDDOWN(Assumptions!$B$18/7,0)),1,1))/7*(Assumptions!$B$18-(ROUNDDOWN(Assumptions!$B$18/7,0)*7))),0)</f>
        <v>204921.42857142858</v>
      </c>
      <c r="AQ8" s="25">
        <f ca="1">IF(ROUNDDOWN(Assumptions!$B$18/7,0)=0,0,IF(COLUMN(AQ$4)-3&lt;=ROUNDDOWN(Assumptions!$B$18/7,0),SUM(OFFSET(Forecast!$B$7,0,MAX(1,COLUMN(AQ$4)-COLUMN($C$4)-ROUNDDOWN(Assumptions!$B$18/7,0)+1),1,MIN(COLUMN(AQ$4)-3,ROUNDDOWN(Assumptions!$B$18/7,0))))/(MIN(COLUMN(AQ$4)-3,ROUNDDOWN(Assumptions!$B$18/7,0))*7)*Assumptions!$B$18,SUM(OFFSET(Forecast!$B$7,0,MAX(1,COLUMN(AQ$4)-COLUMN($C$4)-ROUNDDOWN(Assumptions!$B$18/7,0)+1),1,MIN(COLUMN(AQ$4)-3,ROUNDDOWN(Assumptions!$B$18/7,0))))))+IF(Assumptions!$B$18/7&gt;ROUNDDOWN(Assumptions!$B$18/7,0),IF(COLUMN(AQ$4)-3&lt;ROUNDDOWN(Assumptions!$B$18/7,0)+1,0,SUM(OFFSET(Forecast!$B$7,0,MAX(1,COLUMN(AQ$4)-COLUMN($C$4)-ROUNDDOWN(Assumptions!$B$18/7,0)),1,1))/7*(Assumptions!$B$18-(ROUNDDOWN(Assumptions!$B$18/7,0)*7))),0)</f>
        <v>200520</v>
      </c>
      <c r="AR8" s="25">
        <f ca="1">IF(ROUNDDOWN(Assumptions!$B$18/7,0)=0,0,IF(COLUMN(AR$4)-3&lt;=ROUNDDOWN(Assumptions!$B$18/7,0),SUM(OFFSET(Forecast!$B$7,0,MAX(1,COLUMN(AR$4)-COLUMN($C$4)-ROUNDDOWN(Assumptions!$B$18/7,0)+1),1,MIN(COLUMN(AR$4)-3,ROUNDDOWN(Assumptions!$B$18/7,0))))/(MIN(COLUMN(AR$4)-3,ROUNDDOWN(Assumptions!$B$18/7,0))*7)*Assumptions!$B$18,SUM(OFFSET(Forecast!$B$7,0,MAX(1,COLUMN(AR$4)-COLUMN($C$4)-ROUNDDOWN(Assumptions!$B$18/7,0)+1),1,MIN(COLUMN(AR$4)-3,ROUNDDOWN(Assumptions!$B$18/7,0))))))+IF(Assumptions!$B$18/7&gt;ROUNDDOWN(Assumptions!$B$18/7,0),IF(COLUMN(AR$4)-3&lt;ROUNDDOWN(Assumptions!$B$18/7,0)+1,0,SUM(OFFSET(Forecast!$B$7,0,MAX(1,COLUMN(AR$4)-COLUMN($C$4)-ROUNDDOWN(Assumptions!$B$18/7,0)),1,1))/7*(Assumptions!$B$18-(ROUNDDOWN(Assumptions!$B$18/7,0)*7))),0)</f>
        <v>188657.14285714287</v>
      </c>
      <c r="AS8" s="25">
        <f ca="1">IF(ROUNDDOWN(Assumptions!$B$18/7,0)=0,0,IF(COLUMN(AS$4)-3&lt;=ROUNDDOWN(Assumptions!$B$18/7,0),SUM(OFFSET(Forecast!$B$7,0,MAX(1,COLUMN(AS$4)-COLUMN($C$4)-ROUNDDOWN(Assumptions!$B$18/7,0)+1),1,MIN(COLUMN(AS$4)-3,ROUNDDOWN(Assumptions!$B$18/7,0))))/(MIN(COLUMN(AS$4)-3,ROUNDDOWN(Assumptions!$B$18/7,0))*7)*Assumptions!$B$18,SUM(OFFSET(Forecast!$B$7,0,MAX(1,COLUMN(AS$4)-COLUMN($C$4)-ROUNDDOWN(Assumptions!$B$18/7,0)+1),1,MIN(COLUMN(AS$4)-3,ROUNDDOWN(Assumptions!$B$18/7,0))))))+IF(Assumptions!$B$18/7&gt;ROUNDDOWN(Assumptions!$B$18/7,0),IF(COLUMN(AS$4)-3&lt;ROUNDDOWN(Assumptions!$B$18/7,0)+1,0,SUM(OFFSET(Forecast!$B$7,0,MAX(1,COLUMN(AS$4)-COLUMN($C$4)-ROUNDDOWN(Assumptions!$B$18/7,0)),1,1))/7*(Assumptions!$B$18-(ROUNDDOWN(Assumptions!$B$18/7,0)*7))),0)</f>
        <v>179048.57142857142</v>
      </c>
      <c r="AT8" s="25">
        <f ca="1">IF(ROUNDDOWN(Assumptions!$B$18/7,0)=0,0,IF(COLUMN(AT$4)-3&lt;=ROUNDDOWN(Assumptions!$B$18/7,0),SUM(OFFSET(Forecast!$B$7,0,MAX(1,COLUMN(AT$4)-COLUMN($C$4)-ROUNDDOWN(Assumptions!$B$18/7,0)+1),1,MIN(COLUMN(AT$4)-3,ROUNDDOWN(Assumptions!$B$18/7,0))))/(MIN(COLUMN(AT$4)-3,ROUNDDOWN(Assumptions!$B$18/7,0))*7)*Assumptions!$B$18,SUM(OFFSET(Forecast!$B$7,0,MAX(1,COLUMN(AT$4)-COLUMN($C$4)-ROUNDDOWN(Assumptions!$B$18/7,0)+1),1,MIN(COLUMN(AT$4)-3,ROUNDDOWN(Assumptions!$B$18/7,0))))))+IF(Assumptions!$B$18/7&gt;ROUNDDOWN(Assumptions!$B$18/7,0),IF(COLUMN(AT$4)-3&lt;ROUNDDOWN(Assumptions!$B$18/7,0)+1,0,SUM(OFFSET(Forecast!$B$7,0,MAX(1,COLUMN(AT$4)-COLUMN($C$4)-ROUNDDOWN(Assumptions!$B$18/7,0)),1,1))/7*(Assumptions!$B$18-(ROUNDDOWN(Assumptions!$B$18/7,0)*7))),0)</f>
        <v>159360</v>
      </c>
      <c r="AU8" s="25">
        <f ca="1">IF(ROUNDDOWN(Assumptions!$B$18/7,0)=0,0,IF(COLUMN(AU$4)-3&lt;=ROUNDDOWN(Assumptions!$B$18/7,0),SUM(OFFSET(Forecast!$B$7,0,MAX(1,COLUMN(AU$4)-COLUMN($C$4)-ROUNDDOWN(Assumptions!$B$18/7,0)+1),1,MIN(COLUMN(AU$4)-3,ROUNDDOWN(Assumptions!$B$18/7,0))))/(MIN(COLUMN(AU$4)-3,ROUNDDOWN(Assumptions!$B$18/7,0))*7)*Assumptions!$B$18,SUM(OFFSET(Forecast!$B$7,0,MAX(1,COLUMN(AU$4)-COLUMN($C$4)-ROUNDDOWN(Assumptions!$B$18/7,0)+1),1,MIN(COLUMN(AU$4)-3,ROUNDDOWN(Assumptions!$B$18/7,0))))))+IF(Assumptions!$B$18/7&gt;ROUNDDOWN(Assumptions!$B$18/7,0),IF(COLUMN(AU$4)-3&lt;ROUNDDOWN(Assumptions!$B$18/7,0)+1,0,SUM(OFFSET(Forecast!$B$7,0,MAX(1,COLUMN(AU$4)-COLUMN($C$4)-ROUNDDOWN(Assumptions!$B$18/7,0)),1,1))/7*(Assumptions!$B$18-(ROUNDDOWN(Assumptions!$B$18/7,0)*7))),0)</f>
        <v>140369.14285714287</v>
      </c>
      <c r="AV8" s="25">
        <f ca="1">IF(ROUNDDOWN(Assumptions!$B$18/7,0)=0,0,IF(COLUMN(AV$4)-3&lt;=ROUNDDOWN(Assumptions!$B$18/7,0),SUM(OFFSET(Forecast!$B$7,0,MAX(1,COLUMN(AV$4)-COLUMN($C$4)-ROUNDDOWN(Assumptions!$B$18/7,0)+1),1,MIN(COLUMN(AV$4)-3,ROUNDDOWN(Assumptions!$B$18/7,0))))/(MIN(COLUMN(AV$4)-3,ROUNDDOWN(Assumptions!$B$18/7,0))*7)*Assumptions!$B$18,SUM(OFFSET(Forecast!$B$7,0,MAX(1,COLUMN(AV$4)-COLUMN($C$4)-ROUNDDOWN(Assumptions!$B$18/7,0)+1),1,MIN(COLUMN(AV$4)-3,ROUNDDOWN(Assumptions!$B$18/7,0))))))+IF(Assumptions!$B$18/7&gt;ROUNDDOWN(Assumptions!$B$18/7,0),IF(COLUMN(AV$4)-3&lt;ROUNDDOWN(Assumptions!$B$18/7,0)+1,0,SUM(OFFSET(Forecast!$B$7,0,MAX(1,COLUMN(AV$4)-COLUMN($C$4)-ROUNDDOWN(Assumptions!$B$18/7,0)),1,1))/7*(Assumptions!$B$18-(ROUNDDOWN(Assumptions!$B$18/7,0)*7))),0)</f>
        <v>127378.28571428571</v>
      </c>
      <c r="AW8" s="25">
        <f ca="1">IF(ROUNDDOWN(Assumptions!$B$18/7,0)=0,0,IF(COLUMN(AW$4)-3&lt;=ROUNDDOWN(Assumptions!$B$18/7,0),SUM(OFFSET(Forecast!$B$7,0,MAX(1,COLUMN(AW$4)-COLUMN($C$4)-ROUNDDOWN(Assumptions!$B$18/7,0)+1),1,MIN(COLUMN(AW$4)-3,ROUNDDOWN(Assumptions!$B$18/7,0))))/(MIN(COLUMN(AW$4)-3,ROUNDDOWN(Assumptions!$B$18/7,0))*7)*Assumptions!$B$18,SUM(OFFSET(Forecast!$B$7,0,MAX(1,COLUMN(AW$4)-COLUMN($C$4)-ROUNDDOWN(Assumptions!$B$18/7,0)+1),1,MIN(COLUMN(AW$4)-3,ROUNDDOWN(Assumptions!$B$18/7,0))))))+IF(Assumptions!$B$18/7&gt;ROUNDDOWN(Assumptions!$B$18/7,0),IF(COLUMN(AW$4)-3&lt;ROUNDDOWN(Assumptions!$B$18/7,0)+1,0,SUM(OFFSET(Forecast!$B$7,0,MAX(1,COLUMN(AW$4)-COLUMN($C$4)-ROUNDDOWN(Assumptions!$B$18/7,0)),1,1))/7*(Assumptions!$B$18-(ROUNDDOWN(Assumptions!$B$18/7,0)*7))),0)</f>
        <v>125565.42857142858</v>
      </c>
      <c r="AX8" s="25">
        <f ca="1">IF(ROUNDDOWN(Assumptions!$B$18/7,0)=0,0,IF(COLUMN(AX$4)-3&lt;=ROUNDDOWN(Assumptions!$B$18/7,0),SUM(OFFSET(Forecast!$B$7,0,MAX(1,COLUMN(AX$4)-COLUMN($C$4)-ROUNDDOWN(Assumptions!$B$18/7,0)+1),1,MIN(COLUMN(AX$4)-3,ROUNDDOWN(Assumptions!$B$18/7,0))))/(MIN(COLUMN(AX$4)-3,ROUNDDOWN(Assumptions!$B$18/7,0))*7)*Assumptions!$B$18,SUM(OFFSET(Forecast!$B$7,0,MAX(1,COLUMN(AX$4)-COLUMN($C$4)-ROUNDDOWN(Assumptions!$B$18/7,0)+1),1,MIN(COLUMN(AX$4)-3,ROUNDDOWN(Assumptions!$B$18/7,0))))))+IF(Assumptions!$B$18/7&gt;ROUNDDOWN(Assumptions!$B$18/7,0),IF(COLUMN(AX$4)-3&lt;ROUNDDOWN(Assumptions!$B$18/7,0)+1,0,SUM(OFFSET(Forecast!$B$7,0,MAX(1,COLUMN(AX$4)-COLUMN($C$4)-ROUNDDOWN(Assumptions!$B$18/7,0)),1,1))/7*(Assumptions!$B$18-(ROUNDDOWN(Assumptions!$B$18/7,0)*7))),0)</f>
        <v>149006.57142857142</v>
      </c>
      <c r="AY8" s="25">
        <f ca="1">IF(ROUNDDOWN(Assumptions!$B$18/7,0)=0,0,IF(COLUMN(AY$4)-3&lt;=ROUNDDOWN(Assumptions!$B$18/7,0),SUM(OFFSET(Forecast!$B$7,0,MAX(1,COLUMN(AY$4)-COLUMN($C$4)-ROUNDDOWN(Assumptions!$B$18/7,0)+1),1,MIN(COLUMN(AY$4)-3,ROUNDDOWN(Assumptions!$B$18/7,0))))/(MIN(COLUMN(AY$4)-3,ROUNDDOWN(Assumptions!$B$18/7,0))*7)*Assumptions!$B$18,SUM(OFFSET(Forecast!$B$7,0,MAX(1,COLUMN(AY$4)-COLUMN($C$4)-ROUNDDOWN(Assumptions!$B$18/7,0)+1),1,MIN(COLUMN(AY$4)-3,ROUNDDOWN(Assumptions!$B$18/7,0))))))+IF(Assumptions!$B$18/7&gt;ROUNDDOWN(Assumptions!$B$18/7,0),IF(COLUMN(AY$4)-3&lt;ROUNDDOWN(Assumptions!$B$18/7,0)+1,0,SUM(OFFSET(Forecast!$B$7,0,MAX(1,COLUMN(AY$4)-COLUMN($C$4)-ROUNDDOWN(Assumptions!$B$18/7,0)),1,1))/7*(Assumptions!$B$18-(ROUNDDOWN(Assumptions!$B$18/7,0)*7))),0)</f>
        <v>174288.85714285713</v>
      </c>
      <c r="AZ8" s="25">
        <f ca="1">IF(ROUNDDOWN(Assumptions!$B$18/7,0)=0,0,IF(COLUMN(AZ$4)-3&lt;=ROUNDDOWN(Assumptions!$B$18/7,0),SUM(OFFSET(Forecast!$B$7,0,MAX(1,COLUMN(AZ$4)-COLUMN($C$4)-ROUNDDOWN(Assumptions!$B$18/7,0)+1),1,MIN(COLUMN(AZ$4)-3,ROUNDDOWN(Assumptions!$B$18/7,0))))/(MIN(COLUMN(AZ$4)-3,ROUNDDOWN(Assumptions!$B$18/7,0))*7)*Assumptions!$B$18,SUM(OFFSET(Forecast!$B$7,0,MAX(1,COLUMN(AZ$4)-COLUMN($C$4)-ROUNDDOWN(Assumptions!$B$18/7,0)+1),1,MIN(COLUMN(AZ$4)-3,ROUNDDOWN(Assumptions!$B$18/7,0))))))+IF(Assumptions!$B$18/7&gt;ROUNDDOWN(Assumptions!$B$18/7,0),IF(COLUMN(AZ$4)-3&lt;ROUNDDOWN(Assumptions!$B$18/7,0)+1,0,SUM(OFFSET(Forecast!$B$7,0,MAX(1,COLUMN(AZ$4)-COLUMN($C$4)-ROUNDDOWN(Assumptions!$B$18/7,0)),1,1))/7*(Assumptions!$B$18-(ROUNDDOWN(Assumptions!$B$18/7,0)*7))),0)</f>
        <v>195972</v>
      </c>
      <c r="BA8" s="25">
        <f ca="1">IF(ROUNDDOWN(Assumptions!$B$18/7,0)=0,0,IF(COLUMN(BA$4)-3&lt;=ROUNDDOWN(Assumptions!$B$18/7,0),SUM(OFFSET(Forecast!$B$7,0,MAX(1,COLUMN(BA$4)-COLUMN($C$4)-ROUNDDOWN(Assumptions!$B$18/7,0)+1),1,MIN(COLUMN(BA$4)-3,ROUNDDOWN(Assumptions!$B$18/7,0))))/(MIN(COLUMN(BA$4)-3,ROUNDDOWN(Assumptions!$B$18/7,0))*7)*Assumptions!$B$18,SUM(OFFSET(Forecast!$B$7,0,MAX(1,COLUMN(BA$4)-COLUMN($C$4)-ROUNDDOWN(Assumptions!$B$18/7,0)+1),1,MIN(COLUMN(BA$4)-3,ROUNDDOWN(Assumptions!$B$18/7,0))))))+IF(Assumptions!$B$18/7&gt;ROUNDDOWN(Assumptions!$B$18/7,0),IF(COLUMN(BA$4)-3&lt;ROUNDDOWN(Assumptions!$B$18/7,0)+1,0,SUM(OFFSET(Forecast!$B$7,0,MAX(1,COLUMN(BA$4)-COLUMN($C$4)-ROUNDDOWN(Assumptions!$B$18/7,0)),1,1))/7*(Assumptions!$B$18-(ROUNDDOWN(Assumptions!$B$18/7,0)*7))),0)</f>
        <v>208884</v>
      </c>
      <c r="BB8" s="25">
        <f ca="1">IF(ROUNDDOWN(Assumptions!$B$18/7,0)=0,0,IF(COLUMN(BB$4)-3&lt;=ROUNDDOWN(Assumptions!$B$18/7,0),SUM(OFFSET(Forecast!$B$7,0,MAX(1,COLUMN(BB$4)-COLUMN($C$4)-ROUNDDOWN(Assumptions!$B$18/7,0)+1),1,MIN(COLUMN(BB$4)-3,ROUNDDOWN(Assumptions!$B$18/7,0))))/(MIN(COLUMN(BB$4)-3,ROUNDDOWN(Assumptions!$B$18/7,0))*7)*Assumptions!$B$18,SUM(OFFSET(Forecast!$B$7,0,MAX(1,COLUMN(BB$4)-COLUMN($C$4)-ROUNDDOWN(Assumptions!$B$18/7,0)+1),1,MIN(COLUMN(BB$4)-3,ROUNDDOWN(Assumptions!$B$18/7,0))))))+IF(Assumptions!$B$18/7&gt;ROUNDDOWN(Assumptions!$B$18/7,0),IF(COLUMN(BB$4)-3&lt;ROUNDDOWN(Assumptions!$B$18/7,0)+1,0,SUM(OFFSET(Forecast!$B$7,0,MAX(1,COLUMN(BB$4)-COLUMN($C$4)-ROUNDDOWN(Assumptions!$B$18/7,0)),1,1))/7*(Assumptions!$B$18-(ROUNDDOWN(Assumptions!$B$18/7,0)*7))),0)</f>
        <v>210831.42857142858</v>
      </c>
      <c r="BC8" s="25">
        <f ca="1">IF(ROUNDDOWN(Assumptions!$B$18/7,0)=0,0,IF(COLUMN(BC$4)-3&lt;=ROUNDDOWN(Assumptions!$B$18/7,0),SUM(OFFSET(Forecast!$B$7,0,MAX(1,COLUMN(BC$4)-COLUMN($C$4)-ROUNDDOWN(Assumptions!$B$18/7,0)+1),1,MIN(COLUMN(BC$4)-3,ROUNDDOWN(Assumptions!$B$18/7,0))))/(MIN(COLUMN(BC$4)-3,ROUNDDOWN(Assumptions!$B$18/7,0))*7)*Assumptions!$B$18,SUM(OFFSET(Forecast!$B$7,0,MAX(1,COLUMN(BC$4)-COLUMN($C$4)-ROUNDDOWN(Assumptions!$B$18/7,0)+1),1,MIN(COLUMN(BC$4)-3,ROUNDDOWN(Assumptions!$B$18/7,0))))))+IF(Assumptions!$B$18/7&gt;ROUNDDOWN(Assumptions!$B$18/7,0),IF(COLUMN(BC$4)-3&lt;ROUNDDOWN(Assumptions!$B$18/7,0)+1,0,SUM(OFFSET(Forecast!$B$7,0,MAX(1,COLUMN(BC$4)-COLUMN($C$4)-ROUNDDOWN(Assumptions!$B$18/7,0)),1,1))/7*(Assumptions!$B$18-(ROUNDDOWN(Assumptions!$B$18/7,0)*7))),0)</f>
        <v>211157.14285714284</v>
      </c>
      <c r="BD8" s="25">
        <f ca="1">OFFSET($B8,0,Assumptions!$B$7+1,1,1)</f>
        <v>181260</v>
      </c>
      <c r="BE8" s="25">
        <f ca="1">OFFSET($B8,0,SUM(Assumptions!$B$7:$B$8)+1,1,1)</f>
        <v>195214.64285714287</v>
      </c>
      <c r="BF8" s="25">
        <f ca="1">OFFSET($B8,0,SUM(Assumptions!$B$7:$B$9)+1,1,1)</f>
        <v>204921.42857142858</v>
      </c>
      <c r="BG8" s="25">
        <f ca="1">OFFSET($B8,0,SUM(Assumptions!$B$7:$B$10)+1,1,1)</f>
        <v>211157.14285714284</v>
      </c>
      <c r="BH8" s="25">
        <f ca="1">BG8</f>
        <v>211157.14285714284</v>
      </c>
    </row>
    <row r="9" spans="2:60" ht="15" customHeight="1" x14ac:dyDescent="0.3">
      <c r="B9" s="15" t="s">
        <v>84</v>
      </c>
      <c r="C9" s="25">
        <f>Assumptions!$B$24</f>
        <v>250000</v>
      </c>
      <c r="D9" s="85">
        <f ca="1">IF(ROUNDDOWN(Assumptions!$B$19/7,0)=0,0,IF(COLUMN(D$4)-3&lt;=ROUNDDOWN(Assumptions!$B$19/7,0),SUM(OFFSET(Forecast!$B$5,0,MAX(1,COLUMN(D$4)-COLUMN($C$4)-ROUNDDOWN(Assumptions!$B$19/7,0)+1),1,MIN(COLUMN(D$4)-3,ROUNDDOWN(Assumptions!$B$19/7,0))))/(MIN(COLUMN(D$4)-3,ROUNDDOWN(Assumptions!$B$19/7,0))*7)*Assumptions!$B$19,SUM(OFFSET(Forecast!$B$5,0,MAX(1,COLUMN(D$4)-COLUMN($C$4)-ROUNDDOWN(Assumptions!$B$19/7,0)+1),1,MIN(COLUMN(D$4)-3,ROUNDDOWN(Assumptions!$B$19/7,0))))))+IF(Assumptions!$B$19/7&gt;ROUNDDOWN(Assumptions!$B$19/7,0),IF(COLUMN(D$4)-3&lt;ROUNDDOWN(Assumptions!$B$19/7,0)+1,0,SUM(OFFSET(Forecast!$B$5,0,MAX(1,COLUMN(D$4)-COLUMN($C$4)-ROUNDDOWN(Assumptions!$B$19/7,0)),1,1))/7*(Assumptions!$B$19-(ROUNDDOWN(Assumptions!$B$19/7,0)*7))),0)</f>
        <v>321428.57142857142</v>
      </c>
      <c r="E9" s="85">
        <f ca="1">IF(ROUNDDOWN(Assumptions!$B$19/7,0)=0,0,IF(COLUMN(E$4)-3&lt;=ROUNDDOWN(Assumptions!$B$19/7,0),SUM(OFFSET(Forecast!$B$5,0,MAX(1,COLUMN(E$4)-COLUMN($C$4)-ROUNDDOWN(Assumptions!$B$19/7,0)+1),1,MIN(COLUMN(E$4)-3,ROUNDDOWN(Assumptions!$B$19/7,0))))/(MIN(COLUMN(E$4)-3,ROUNDDOWN(Assumptions!$B$19/7,0))*7)*Assumptions!$B$19,SUM(OFFSET(Forecast!$B$5,0,MAX(1,COLUMN(E$4)-COLUMN($C$4)-ROUNDDOWN(Assumptions!$B$19/7,0)+1),1,MIN(COLUMN(E$4)-3,ROUNDDOWN(Assumptions!$B$19/7,0))))))+IF(Assumptions!$B$19/7&gt;ROUNDDOWN(Assumptions!$B$19/7,0),IF(COLUMN(E$4)-3&lt;ROUNDDOWN(Assumptions!$B$19/7,0)+1,0,SUM(OFFSET(Forecast!$B$5,0,MAX(1,COLUMN(E$4)-COLUMN($C$4)-ROUNDDOWN(Assumptions!$B$19/7,0)),1,1))/7*(Assumptions!$B$19-(ROUNDDOWN(Assumptions!$B$19/7,0)*7))),0)</f>
        <v>298500</v>
      </c>
      <c r="F9" s="85">
        <f ca="1">IF(ROUNDDOWN(Assumptions!$B$19/7,0)=0,0,IF(COLUMN(F$4)-3&lt;=ROUNDDOWN(Assumptions!$B$19/7,0),SUM(OFFSET(Forecast!$B$5,0,MAX(1,COLUMN(F$4)-COLUMN($C$4)-ROUNDDOWN(Assumptions!$B$19/7,0)+1),1,MIN(COLUMN(F$4)-3,ROUNDDOWN(Assumptions!$B$19/7,0))))/(MIN(COLUMN(F$4)-3,ROUNDDOWN(Assumptions!$B$19/7,0))*7)*Assumptions!$B$19,SUM(OFFSET(Forecast!$B$5,0,MAX(1,COLUMN(F$4)-COLUMN($C$4)-ROUNDDOWN(Assumptions!$B$19/7,0)+1),1,MIN(COLUMN(F$4)-3,ROUNDDOWN(Assumptions!$B$19/7,0))))))+IF(Assumptions!$B$19/7&gt;ROUNDDOWN(Assumptions!$B$19/7,0),IF(COLUMN(F$4)-3&lt;ROUNDDOWN(Assumptions!$B$19/7,0)+1,0,SUM(OFFSET(Forecast!$B$5,0,MAX(1,COLUMN(F$4)-COLUMN($C$4)-ROUNDDOWN(Assumptions!$B$19/7,0)),1,1))/7*(Assumptions!$B$19-(ROUNDDOWN(Assumptions!$B$19/7,0)*7))),0)</f>
        <v>313285.71428571432</v>
      </c>
      <c r="G9" s="85">
        <f ca="1">IF(ROUNDDOWN(Assumptions!$B$19/7,0)=0,0,IF(COLUMN(G$4)-3&lt;=ROUNDDOWN(Assumptions!$B$19/7,0),SUM(OFFSET(Forecast!$B$5,0,MAX(1,COLUMN(G$4)-COLUMN($C$4)-ROUNDDOWN(Assumptions!$B$19/7,0)+1),1,MIN(COLUMN(G$4)-3,ROUNDDOWN(Assumptions!$B$19/7,0))))/(MIN(COLUMN(G$4)-3,ROUNDDOWN(Assumptions!$B$19/7,0))*7)*Assumptions!$B$19,SUM(OFFSET(Forecast!$B$5,0,MAX(1,COLUMN(G$4)-COLUMN($C$4)-ROUNDDOWN(Assumptions!$B$19/7,0)+1),1,MIN(COLUMN(G$4)-3,ROUNDDOWN(Assumptions!$B$19/7,0))))))+IF(Assumptions!$B$19/7&gt;ROUNDDOWN(Assumptions!$B$19/7,0),IF(COLUMN(G$4)-3&lt;ROUNDDOWN(Assumptions!$B$19/7,0)+1,0,SUM(OFFSET(Forecast!$B$5,0,MAX(1,COLUMN(G$4)-COLUMN($C$4)-ROUNDDOWN(Assumptions!$B$19/7,0)),1,1))/7*(Assumptions!$B$19-(ROUNDDOWN(Assumptions!$B$19/7,0)*7))),0)</f>
        <v>322821.42857142858</v>
      </c>
      <c r="H9" s="85">
        <f ca="1">IF(ROUNDDOWN(Assumptions!$B$19/7,0)=0,0,IF(COLUMN(H$4)-3&lt;=ROUNDDOWN(Assumptions!$B$19/7,0),SUM(OFFSET(Forecast!$B$5,0,MAX(1,COLUMN(H$4)-COLUMN($C$4)-ROUNDDOWN(Assumptions!$B$19/7,0)+1),1,MIN(COLUMN(H$4)-3,ROUNDDOWN(Assumptions!$B$19/7,0))))/(MIN(COLUMN(H$4)-3,ROUNDDOWN(Assumptions!$B$19/7,0))*7)*Assumptions!$B$19,SUM(OFFSET(Forecast!$B$5,0,MAX(1,COLUMN(H$4)-COLUMN($C$4)-ROUNDDOWN(Assumptions!$B$19/7,0)+1),1,MIN(COLUMN(H$4)-3,ROUNDDOWN(Assumptions!$B$19/7,0))))))+IF(Assumptions!$B$19/7&gt;ROUNDDOWN(Assumptions!$B$19/7,0),IF(COLUMN(H$4)-3&lt;ROUNDDOWN(Assumptions!$B$19/7,0)+1,0,SUM(OFFSET(Forecast!$B$5,0,MAX(1,COLUMN(H$4)-COLUMN($C$4)-ROUNDDOWN(Assumptions!$B$19/7,0)),1,1))/7*(Assumptions!$B$19-(ROUNDDOWN(Assumptions!$B$19/7,0)*7))),0)</f>
        <v>327978.57142857142</v>
      </c>
      <c r="I9" s="85">
        <f ca="1">IF(ROUNDDOWN(Assumptions!$B$19/7,0)=0,0,IF(COLUMN(I$4)-3&lt;=ROUNDDOWN(Assumptions!$B$19/7,0),SUM(OFFSET(Forecast!$B$5,0,MAX(1,COLUMN(I$4)-COLUMN($C$4)-ROUNDDOWN(Assumptions!$B$19/7,0)+1),1,MIN(COLUMN(I$4)-3,ROUNDDOWN(Assumptions!$B$19/7,0))))/(MIN(COLUMN(I$4)-3,ROUNDDOWN(Assumptions!$B$19/7,0))*7)*Assumptions!$B$19,SUM(OFFSET(Forecast!$B$5,0,MAX(1,COLUMN(I$4)-COLUMN($C$4)-ROUNDDOWN(Assumptions!$B$19/7,0)+1),1,MIN(COLUMN(I$4)-3,ROUNDDOWN(Assumptions!$B$19/7,0))))))+IF(Assumptions!$B$19/7&gt;ROUNDDOWN(Assumptions!$B$19/7,0),IF(COLUMN(I$4)-3&lt;ROUNDDOWN(Assumptions!$B$19/7,0)+1,0,SUM(OFFSET(Forecast!$B$5,0,MAX(1,COLUMN(I$4)-COLUMN($C$4)-ROUNDDOWN(Assumptions!$B$19/7,0)),1,1))/7*(Assumptions!$B$19-(ROUNDDOWN(Assumptions!$B$19/7,0)*7))),0)</f>
        <v>336871.42857142858</v>
      </c>
      <c r="J9" s="85">
        <f ca="1">IF(ROUNDDOWN(Assumptions!$B$19/7,0)=0,0,IF(COLUMN(J$4)-3&lt;=ROUNDDOWN(Assumptions!$B$19/7,0),SUM(OFFSET(Forecast!$B$5,0,MAX(1,COLUMN(J$4)-COLUMN($C$4)-ROUNDDOWN(Assumptions!$B$19/7,0)+1),1,MIN(COLUMN(J$4)-3,ROUNDDOWN(Assumptions!$B$19/7,0))))/(MIN(COLUMN(J$4)-3,ROUNDDOWN(Assumptions!$B$19/7,0))*7)*Assumptions!$B$19,SUM(OFFSET(Forecast!$B$5,0,MAX(1,COLUMN(J$4)-COLUMN($C$4)-ROUNDDOWN(Assumptions!$B$19/7,0)+1),1,MIN(COLUMN(J$4)-3,ROUNDDOWN(Assumptions!$B$19/7,0))))))+IF(Assumptions!$B$19/7&gt;ROUNDDOWN(Assumptions!$B$19/7,0),IF(COLUMN(J$4)-3&lt;ROUNDDOWN(Assumptions!$B$19/7,0)+1,0,SUM(OFFSET(Forecast!$B$5,0,MAX(1,COLUMN(J$4)-COLUMN($C$4)-ROUNDDOWN(Assumptions!$B$19/7,0)),1,1))/7*(Assumptions!$B$19-(ROUNDDOWN(Assumptions!$B$19/7,0)*7))),0)</f>
        <v>329607.14285714284</v>
      </c>
      <c r="K9" s="85">
        <f ca="1">IF(ROUNDDOWN(Assumptions!$B$19/7,0)=0,0,IF(COLUMN(K$4)-3&lt;=ROUNDDOWN(Assumptions!$B$19/7,0),SUM(OFFSET(Forecast!$B$5,0,MAX(1,COLUMN(K$4)-COLUMN($C$4)-ROUNDDOWN(Assumptions!$B$19/7,0)+1),1,MIN(COLUMN(K$4)-3,ROUNDDOWN(Assumptions!$B$19/7,0))))/(MIN(COLUMN(K$4)-3,ROUNDDOWN(Assumptions!$B$19/7,0))*7)*Assumptions!$B$19,SUM(OFFSET(Forecast!$B$5,0,MAX(1,COLUMN(K$4)-COLUMN($C$4)-ROUNDDOWN(Assumptions!$B$19/7,0)+1),1,MIN(COLUMN(K$4)-3,ROUNDDOWN(Assumptions!$B$19/7,0))))))+IF(Assumptions!$B$19/7&gt;ROUNDDOWN(Assumptions!$B$19/7,0),IF(COLUMN(K$4)-3&lt;ROUNDDOWN(Assumptions!$B$19/7,0)+1,0,SUM(OFFSET(Forecast!$B$5,0,MAX(1,COLUMN(K$4)-COLUMN($C$4)-ROUNDDOWN(Assumptions!$B$19/7,0)),1,1))/7*(Assumptions!$B$19-(ROUNDDOWN(Assumptions!$B$19/7,0)*7))),0)</f>
        <v>326928.57142857142</v>
      </c>
      <c r="L9" s="85">
        <f ca="1">IF(ROUNDDOWN(Assumptions!$B$19/7,0)=0,0,IF(COLUMN(L$4)-3&lt;=ROUNDDOWN(Assumptions!$B$19/7,0),SUM(OFFSET(Forecast!$B$5,0,MAX(1,COLUMN(L$4)-COLUMN($C$4)-ROUNDDOWN(Assumptions!$B$19/7,0)+1),1,MIN(COLUMN(L$4)-3,ROUNDDOWN(Assumptions!$B$19/7,0))))/(MIN(COLUMN(L$4)-3,ROUNDDOWN(Assumptions!$B$19/7,0))*7)*Assumptions!$B$19,SUM(OFFSET(Forecast!$B$5,0,MAX(1,COLUMN(L$4)-COLUMN($C$4)-ROUNDDOWN(Assumptions!$B$19/7,0)+1),1,MIN(COLUMN(L$4)-3,ROUNDDOWN(Assumptions!$B$19/7,0))))))+IF(Assumptions!$B$19/7&gt;ROUNDDOWN(Assumptions!$B$19/7,0),IF(COLUMN(L$4)-3&lt;ROUNDDOWN(Assumptions!$B$19/7,0)+1,0,SUM(OFFSET(Forecast!$B$5,0,MAX(1,COLUMN(L$4)-COLUMN($C$4)-ROUNDDOWN(Assumptions!$B$19/7,0)),1,1))/7*(Assumptions!$B$19-(ROUNDDOWN(Assumptions!$B$19/7,0)*7))),0)</f>
        <v>321178.57142857142</v>
      </c>
      <c r="M9" s="85">
        <f ca="1">IF(ROUNDDOWN(Assumptions!$B$19/7,0)=0,0,IF(COLUMN(M$4)-3&lt;=ROUNDDOWN(Assumptions!$B$19/7,0),SUM(OFFSET(Forecast!$B$5,0,MAX(1,COLUMN(M$4)-COLUMN($C$4)-ROUNDDOWN(Assumptions!$B$19/7,0)+1),1,MIN(COLUMN(M$4)-3,ROUNDDOWN(Assumptions!$B$19/7,0))))/(MIN(COLUMN(M$4)-3,ROUNDDOWN(Assumptions!$B$19/7,0))*7)*Assumptions!$B$19,SUM(OFFSET(Forecast!$B$5,0,MAX(1,COLUMN(M$4)-COLUMN($C$4)-ROUNDDOWN(Assumptions!$B$19/7,0)+1),1,MIN(COLUMN(M$4)-3,ROUNDDOWN(Assumptions!$B$19/7,0))))))+IF(Assumptions!$B$19/7&gt;ROUNDDOWN(Assumptions!$B$19/7,0),IF(COLUMN(M$4)-3&lt;ROUNDDOWN(Assumptions!$B$19/7,0)+1,0,SUM(OFFSET(Forecast!$B$5,0,MAX(1,COLUMN(M$4)-COLUMN($C$4)-ROUNDDOWN(Assumptions!$B$19/7,0)),1,1))/7*(Assumptions!$B$19-(ROUNDDOWN(Assumptions!$B$19/7,0)*7))),0)</f>
        <v>323785.71428571426</v>
      </c>
      <c r="N9" s="85">
        <f ca="1">IF(ROUNDDOWN(Assumptions!$B$19/7,0)=0,0,IF(COLUMN(N$4)-3&lt;=ROUNDDOWN(Assumptions!$B$19/7,0),SUM(OFFSET(Forecast!$B$5,0,MAX(1,COLUMN(N$4)-COLUMN($C$4)-ROUNDDOWN(Assumptions!$B$19/7,0)+1),1,MIN(COLUMN(N$4)-3,ROUNDDOWN(Assumptions!$B$19/7,0))))/(MIN(COLUMN(N$4)-3,ROUNDDOWN(Assumptions!$B$19/7,0))*7)*Assumptions!$B$19,SUM(OFFSET(Forecast!$B$5,0,MAX(1,COLUMN(N$4)-COLUMN($C$4)-ROUNDDOWN(Assumptions!$B$19/7,0)+1),1,MIN(COLUMN(N$4)-3,ROUNDDOWN(Assumptions!$B$19/7,0))))))+IF(Assumptions!$B$19/7&gt;ROUNDDOWN(Assumptions!$B$19/7,0),IF(COLUMN(N$4)-3&lt;ROUNDDOWN(Assumptions!$B$19/7,0)+1,0,SUM(OFFSET(Forecast!$B$5,0,MAX(1,COLUMN(N$4)-COLUMN($C$4)-ROUNDDOWN(Assumptions!$B$19/7,0)),1,1))/7*(Assumptions!$B$19-(ROUNDDOWN(Assumptions!$B$19/7,0)*7))),0)</f>
        <v>335750</v>
      </c>
      <c r="O9" s="85">
        <f ca="1">IF(ROUNDDOWN(Assumptions!$B$19/7,0)=0,0,IF(COLUMN(O$4)-3&lt;=ROUNDDOWN(Assumptions!$B$19/7,0),SUM(OFFSET(Forecast!$B$5,0,MAX(1,COLUMN(O$4)-COLUMN($C$4)-ROUNDDOWN(Assumptions!$B$19/7,0)+1),1,MIN(COLUMN(O$4)-3,ROUNDDOWN(Assumptions!$B$19/7,0))))/(MIN(COLUMN(O$4)-3,ROUNDDOWN(Assumptions!$B$19/7,0))*7)*Assumptions!$B$19,SUM(OFFSET(Forecast!$B$5,0,MAX(1,COLUMN(O$4)-COLUMN($C$4)-ROUNDDOWN(Assumptions!$B$19/7,0)+1),1,MIN(COLUMN(O$4)-3,ROUNDDOWN(Assumptions!$B$19/7,0))))))+IF(Assumptions!$B$19/7&gt;ROUNDDOWN(Assumptions!$B$19/7,0),IF(COLUMN(O$4)-3&lt;ROUNDDOWN(Assumptions!$B$19/7,0)+1,0,SUM(OFFSET(Forecast!$B$5,0,MAX(1,COLUMN(O$4)-COLUMN($C$4)-ROUNDDOWN(Assumptions!$B$19/7,0)),1,1))/7*(Assumptions!$B$19-(ROUNDDOWN(Assumptions!$B$19/7,0)*7))),0)</f>
        <v>342000</v>
      </c>
      <c r="P9" s="85">
        <f ca="1">IF(ROUNDDOWN(Assumptions!$B$19/7,0)=0,0,IF(COLUMN(P$4)-3&lt;=ROUNDDOWN(Assumptions!$B$19/7,0),SUM(OFFSET(Forecast!$B$5,0,MAX(1,COLUMN(P$4)-COLUMN($C$4)-ROUNDDOWN(Assumptions!$B$19/7,0)+1),1,MIN(COLUMN(P$4)-3,ROUNDDOWN(Assumptions!$B$19/7,0))))/(MIN(COLUMN(P$4)-3,ROUNDDOWN(Assumptions!$B$19/7,0))*7)*Assumptions!$B$19,SUM(OFFSET(Forecast!$B$5,0,MAX(1,COLUMN(P$4)-COLUMN($C$4)-ROUNDDOWN(Assumptions!$B$19/7,0)+1),1,MIN(COLUMN(P$4)-3,ROUNDDOWN(Assumptions!$B$19/7,0))))))+IF(Assumptions!$B$19/7&gt;ROUNDDOWN(Assumptions!$B$19/7,0),IF(COLUMN(P$4)-3&lt;ROUNDDOWN(Assumptions!$B$19/7,0)+1,0,SUM(OFFSET(Forecast!$B$5,0,MAX(1,COLUMN(P$4)-COLUMN($C$4)-ROUNDDOWN(Assumptions!$B$19/7,0)),1,1))/7*(Assumptions!$B$19-(ROUNDDOWN(Assumptions!$B$19/7,0)*7))),0)</f>
        <v>343428.57142857142</v>
      </c>
      <c r="Q9" s="85">
        <f ca="1">IF(ROUNDDOWN(Assumptions!$B$19/7,0)=0,0,IF(COLUMN(Q$4)-3&lt;=ROUNDDOWN(Assumptions!$B$19/7,0),SUM(OFFSET(Forecast!$B$5,0,MAX(1,COLUMN(Q$4)-COLUMN($C$4)-ROUNDDOWN(Assumptions!$B$19/7,0)+1),1,MIN(COLUMN(Q$4)-3,ROUNDDOWN(Assumptions!$B$19/7,0))))/(MIN(COLUMN(Q$4)-3,ROUNDDOWN(Assumptions!$B$19/7,0))*7)*Assumptions!$B$19,SUM(OFFSET(Forecast!$B$5,0,MAX(1,COLUMN(Q$4)-COLUMN($C$4)-ROUNDDOWN(Assumptions!$B$19/7,0)+1),1,MIN(COLUMN(Q$4)-3,ROUNDDOWN(Assumptions!$B$19/7,0))))))+IF(Assumptions!$B$19/7&gt;ROUNDDOWN(Assumptions!$B$19/7,0),IF(COLUMN(Q$4)-3&lt;ROUNDDOWN(Assumptions!$B$19/7,0)+1,0,SUM(OFFSET(Forecast!$B$5,0,MAX(1,COLUMN(Q$4)-COLUMN($C$4)-ROUNDDOWN(Assumptions!$B$19/7,0)),1,1))/7*(Assumptions!$B$19-(ROUNDDOWN(Assumptions!$B$19/7,0)*7))),0)</f>
        <v>352357.14285714284</v>
      </c>
      <c r="R9" s="85">
        <f ca="1">IF(ROUNDDOWN(Assumptions!$B$19/7,0)=0,0,IF(COLUMN(R$4)-3&lt;=ROUNDDOWN(Assumptions!$B$19/7,0),SUM(OFFSET(Forecast!$B$5,0,MAX(1,COLUMN(R$4)-COLUMN($C$4)-ROUNDDOWN(Assumptions!$B$19/7,0)+1),1,MIN(COLUMN(R$4)-3,ROUNDDOWN(Assumptions!$B$19/7,0))))/(MIN(COLUMN(R$4)-3,ROUNDDOWN(Assumptions!$B$19/7,0))*7)*Assumptions!$B$19,SUM(OFFSET(Forecast!$B$5,0,MAX(1,COLUMN(R$4)-COLUMN($C$4)-ROUNDDOWN(Assumptions!$B$19/7,0)+1),1,MIN(COLUMN(R$4)-3,ROUNDDOWN(Assumptions!$B$19/7,0))))))+IF(Assumptions!$B$19/7&gt;ROUNDDOWN(Assumptions!$B$19/7,0),IF(COLUMN(R$4)-3&lt;ROUNDDOWN(Assumptions!$B$19/7,0)+1,0,SUM(OFFSET(Forecast!$B$5,0,MAX(1,COLUMN(R$4)-COLUMN($C$4)-ROUNDDOWN(Assumptions!$B$19/7,0)),1,1))/7*(Assumptions!$B$19-(ROUNDDOWN(Assumptions!$B$19/7,0)*7))),0)</f>
        <v>350571.42857142858</v>
      </c>
      <c r="S9" s="85">
        <f ca="1">IF(ROUNDDOWN(Assumptions!$B$19/7,0)=0,0,IF(COLUMN(S$4)-3&lt;=ROUNDDOWN(Assumptions!$B$19/7,0),SUM(OFFSET(Forecast!$B$5,0,MAX(1,COLUMN(S$4)-COLUMN($C$4)-ROUNDDOWN(Assumptions!$B$19/7,0)+1),1,MIN(COLUMN(S$4)-3,ROUNDDOWN(Assumptions!$B$19/7,0))))/(MIN(COLUMN(S$4)-3,ROUNDDOWN(Assumptions!$B$19/7,0))*7)*Assumptions!$B$19,SUM(OFFSET(Forecast!$B$5,0,MAX(1,COLUMN(S$4)-COLUMN($C$4)-ROUNDDOWN(Assumptions!$B$19/7,0)+1),1,MIN(COLUMN(S$4)-3,ROUNDDOWN(Assumptions!$B$19/7,0))))))+IF(Assumptions!$B$19/7&gt;ROUNDDOWN(Assumptions!$B$19/7,0),IF(COLUMN(S$4)-3&lt;ROUNDDOWN(Assumptions!$B$19/7,0)+1,0,SUM(OFFSET(Forecast!$B$5,0,MAX(1,COLUMN(S$4)-COLUMN($C$4)-ROUNDDOWN(Assumptions!$B$19/7,0)),1,1))/7*(Assumptions!$B$19-(ROUNDDOWN(Assumptions!$B$19/7,0)*7))),0)</f>
        <v>349178.57142857142</v>
      </c>
      <c r="T9" s="85">
        <f ca="1">IF(ROUNDDOWN(Assumptions!$B$19/7,0)=0,0,IF(COLUMN(T$4)-3&lt;=ROUNDDOWN(Assumptions!$B$19/7,0),SUM(OFFSET(Forecast!$B$5,0,MAX(1,COLUMN(T$4)-COLUMN($C$4)-ROUNDDOWN(Assumptions!$B$19/7,0)+1),1,MIN(COLUMN(T$4)-3,ROUNDDOWN(Assumptions!$B$19/7,0))))/(MIN(COLUMN(T$4)-3,ROUNDDOWN(Assumptions!$B$19/7,0))*7)*Assumptions!$B$19,SUM(OFFSET(Forecast!$B$5,0,MAX(1,COLUMN(T$4)-COLUMN($C$4)-ROUNDDOWN(Assumptions!$B$19/7,0)+1),1,MIN(COLUMN(T$4)-3,ROUNDDOWN(Assumptions!$B$19/7,0))))))+IF(Assumptions!$B$19/7&gt;ROUNDDOWN(Assumptions!$B$19/7,0),IF(COLUMN(T$4)-3&lt;ROUNDDOWN(Assumptions!$B$19/7,0)+1,0,SUM(OFFSET(Forecast!$B$5,0,MAX(1,COLUMN(T$4)-COLUMN($C$4)-ROUNDDOWN(Assumptions!$B$19/7,0)),1,1))/7*(Assumptions!$B$19-(ROUNDDOWN(Assumptions!$B$19/7,0)*7))),0)</f>
        <v>356642.85714285716</v>
      </c>
      <c r="U9" s="85">
        <f ca="1">IF(ROUNDDOWN(Assumptions!$B$19/7,0)=0,0,IF(COLUMN(U$4)-3&lt;=ROUNDDOWN(Assumptions!$B$19/7,0),SUM(OFFSET(Forecast!$B$5,0,MAX(1,COLUMN(U$4)-COLUMN($C$4)-ROUNDDOWN(Assumptions!$B$19/7,0)+1),1,MIN(COLUMN(U$4)-3,ROUNDDOWN(Assumptions!$B$19/7,0))))/(MIN(COLUMN(U$4)-3,ROUNDDOWN(Assumptions!$B$19/7,0))*7)*Assumptions!$B$19,SUM(OFFSET(Forecast!$B$5,0,MAX(1,COLUMN(U$4)-COLUMN($C$4)-ROUNDDOWN(Assumptions!$B$19/7,0)+1),1,MIN(COLUMN(U$4)-3,ROUNDDOWN(Assumptions!$B$19/7,0))))))+IF(Assumptions!$B$19/7&gt;ROUNDDOWN(Assumptions!$B$19/7,0),IF(COLUMN(U$4)-3&lt;ROUNDDOWN(Assumptions!$B$19/7,0)+1,0,SUM(OFFSET(Forecast!$B$5,0,MAX(1,COLUMN(U$4)-COLUMN($C$4)-ROUNDDOWN(Assumptions!$B$19/7,0)),1,1))/7*(Assumptions!$B$19-(ROUNDDOWN(Assumptions!$B$19/7,0)*7))),0)</f>
        <v>360500</v>
      </c>
      <c r="V9" s="85">
        <f ca="1">IF(ROUNDDOWN(Assumptions!$B$19/7,0)=0,0,IF(COLUMN(V$4)-3&lt;=ROUNDDOWN(Assumptions!$B$19/7,0),SUM(OFFSET(Forecast!$B$5,0,MAX(1,COLUMN(V$4)-COLUMN($C$4)-ROUNDDOWN(Assumptions!$B$19/7,0)+1),1,MIN(COLUMN(V$4)-3,ROUNDDOWN(Assumptions!$B$19/7,0))))/(MIN(COLUMN(V$4)-3,ROUNDDOWN(Assumptions!$B$19/7,0))*7)*Assumptions!$B$19,SUM(OFFSET(Forecast!$B$5,0,MAX(1,COLUMN(V$4)-COLUMN($C$4)-ROUNDDOWN(Assumptions!$B$19/7,0)+1),1,MIN(COLUMN(V$4)-3,ROUNDDOWN(Assumptions!$B$19/7,0))))))+IF(Assumptions!$B$19/7&gt;ROUNDDOWN(Assumptions!$B$19/7,0),IF(COLUMN(V$4)-3&lt;ROUNDDOWN(Assumptions!$B$19/7,0)+1,0,SUM(OFFSET(Forecast!$B$5,0,MAX(1,COLUMN(V$4)-COLUMN($C$4)-ROUNDDOWN(Assumptions!$B$19/7,0)),1,1))/7*(Assumptions!$B$19-(ROUNDDOWN(Assumptions!$B$19/7,0)*7))),0)</f>
        <v>365107.14285714284</v>
      </c>
      <c r="W9" s="85">
        <f ca="1">IF(ROUNDDOWN(Assumptions!$B$19/7,0)=0,0,IF(COLUMN(W$4)-3&lt;=ROUNDDOWN(Assumptions!$B$19/7,0),SUM(OFFSET(Forecast!$B$5,0,MAX(1,COLUMN(W$4)-COLUMN($C$4)-ROUNDDOWN(Assumptions!$B$19/7,0)+1),1,MIN(COLUMN(W$4)-3,ROUNDDOWN(Assumptions!$B$19/7,0))))/(MIN(COLUMN(W$4)-3,ROUNDDOWN(Assumptions!$B$19/7,0))*7)*Assumptions!$B$19,SUM(OFFSET(Forecast!$B$5,0,MAX(1,COLUMN(W$4)-COLUMN($C$4)-ROUNDDOWN(Assumptions!$B$19/7,0)+1),1,MIN(COLUMN(W$4)-3,ROUNDDOWN(Assumptions!$B$19/7,0))))))+IF(Assumptions!$B$19/7&gt;ROUNDDOWN(Assumptions!$B$19/7,0),IF(COLUMN(W$4)-3&lt;ROUNDDOWN(Assumptions!$B$19/7,0)+1,0,SUM(OFFSET(Forecast!$B$5,0,MAX(1,COLUMN(W$4)-COLUMN($C$4)-ROUNDDOWN(Assumptions!$B$19/7,0)),1,1))/7*(Assumptions!$B$19-(ROUNDDOWN(Assumptions!$B$19/7,0)*7))),0)</f>
        <v>362071.42857142858</v>
      </c>
      <c r="X9" s="85">
        <f ca="1">IF(ROUNDDOWN(Assumptions!$B$19/7,0)=0,0,IF(COLUMN(X$4)-3&lt;=ROUNDDOWN(Assumptions!$B$19/7,0),SUM(OFFSET(Forecast!$B$5,0,MAX(1,COLUMN(X$4)-COLUMN($C$4)-ROUNDDOWN(Assumptions!$B$19/7,0)+1),1,MIN(COLUMN(X$4)-3,ROUNDDOWN(Assumptions!$B$19/7,0))))/(MIN(COLUMN(X$4)-3,ROUNDDOWN(Assumptions!$B$19/7,0))*7)*Assumptions!$B$19,SUM(OFFSET(Forecast!$B$5,0,MAX(1,COLUMN(X$4)-COLUMN($C$4)-ROUNDDOWN(Assumptions!$B$19/7,0)+1),1,MIN(COLUMN(X$4)-3,ROUNDDOWN(Assumptions!$B$19/7,0))))))+IF(Assumptions!$B$19/7&gt;ROUNDDOWN(Assumptions!$B$19/7,0),IF(COLUMN(X$4)-3&lt;ROUNDDOWN(Assumptions!$B$19/7,0)+1,0,SUM(OFFSET(Forecast!$B$5,0,MAX(1,COLUMN(X$4)-COLUMN($C$4)-ROUNDDOWN(Assumptions!$B$19/7,0)),1,1))/7*(Assumptions!$B$19-(ROUNDDOWN(Assumptions!$B$19/7,0)*7))),0)</f>
        <v>356142.85714285716</v>
      </c>
      <c r="Y9" s="85">
        <f ca="1">IF(ROUNDDOWN(Assumptions!$B$19/7,0)=0,0,IF(COLUMN(Y$4)-3&lt;=ROUNDDOWN(Assumptions!$B$19/7,0),SUM(OFFSET(Forecast!$B$5,0,MAX(1,COLUMN(Y$4)-COLUMN($C$4)-ROUNDDOWN(Assumptions!$B$19/7,0)+1),1,MIN(COLUMN(Y$4)-3,ROUNDDOWN(Assumptions!$B$19/7,0))))/(MIN(COLUMN(Y$4)-3,ROUNDDOWN(Assumptions!$B$19/7,0))*7)*Assumptions!$B$19,SUM(OFFSET(Forecast!$B$5,0,MAX(1,COLUMN(Y$4)-COLUMN($C$4)-ROUNDDOWN(Assumptions!$B$19/7,0)+1),1,MIN(COLUMN(Y$4)-3,ROUNDDOWN(Assumptions!$B$19/7,0))))))+IF(Assumptions!$B$19/7&gt;ROUNDDOWN(Assumptions!$B$19/7,0),IF(COLUMN(Y$4)-3&lt;ROUNDDOWN(Assumptions!$B$19/7,0)+1,0,SUM(OFFSET(Forecast!$B$5,0,MAX(1,COLUMN(Y$4)-COLUMN($C$4)-ROUNDDOWN(Assumptions!$B$19/7,0)),1,1))/7*(Assumptions!$B$19-(ROUNDDOWN(Assumptions!$B$19/7,0)*7))),0)</f>
        <v>355785.71428571426</v>
      </c>
      <c r="Z9" s="85">
        <f ca="1">IF(ROUNDDOWN(Assumptions!$B$19/7,0)=0,0,IF(COLUMN(Z$4)-3&lt;=ROUNDDOWN(Assumptions!$B$19/7,0),SUM(OFFSET(Forecast!$B$5,0,MAX(1,COLUMN(Z$4)-COLUMN($C$4)-ROUNDDOWN(Assumptions!$B$19/7,0)+1),1,MIN(COLUMN(Z$4)-3,ROUNDDOWN(Assumptions!$B$19/7,0))))/(MIN(COLUMN(Z$4)-3,ROUNDDOWN(Assumptions!$B$19/7,0))*7)*Assumptions!$B$19,SUM(OFFSET(Forecast!$B$5,0,MAX(1,COLUMN(Z$4)-COLUMN($C$4)-ROUNDDOWN(Assumptions!$B$19/7,0)+1),1,MIN(COLUMN(Z$4)-3,ROUNDDOWN(Assumptions!$B$19/7,0))))))+IF(Assumptions!$B$19/7&gt;ROUNDDOWN(Assumptions!$B$19/7,0),IF(COLUMN(Z$4)-3&lt;ROUNDDOWN(Assumptions!$B$19/7,0)+1,0,SUM(OFFSET(Forecast!$B$5,0,MAX(1,COLUMN(Z$4)-COLUMN($C$4)-ROUNDDOWN(Assumptions!$B$19/7,0)),1,1))/7*(Assumptions!$B$19-(ROUNDDOWN(Assumptions!$B$19/7,0)*7))),0)</f>
        <v>353035.71428571426</v>
      </c>
      <c r="AA9" s="85">
        <f ca="1">IF(ROUNDDOWN(Assumptions!$B$19/7,0)=0,0,IF(COLUMN(AA$4)-3&lt;=ROUNDDOWN(Assumptions!$B$19/7,0),SUM(OFFSET(Forecast!$B$5,0,MAX(1,COLUMN(AA$4)-COLUMN($C$4)-ROUNDDOWN(Assumptions!$B$19/7,0)+1),1,MIN(COLUMN(AA$4)-3,ROUNDDOWN(Assumptions!$B$19/7,0))))/(MIN(COLUMN(AA$4)-3,ROUNDDOWN(Assumptions!$B$19/7,0))*7)*Assumptions!$B$19,SUM(OFFSET(Forecast!$B$5,0,MAX(1,COLUMN(AA$4)-COLUMN($C$4)-ROUNDDOWN(Assumptions!$B$19/7,0)+1),1,MIN(COLUMN(AA$4)-3,ROUNDDOWN(Assumptions!$B$19/7,0))))))+IF(Assumptions!$B$19/7&gt;ROUNDDOWN(Assumptions!$B$19/7,0),IF(COLUMN(AA$4)-3&lt;ROUNDDOWN(Assumptions!$B$19/7,0)+1,0,SUM(OFFSET(Forecast!$B$5,0,MAX(1,COLUMN(AA$4)-COLUMN($C$4)-ROUNDDOWN(Assumptions!$B$19/7,0)),1,1))/7*(Assumptions!$B$19-(ROUNDDOWN(Assumptions!$B$19/7,0)*7))),0)</f>
        <v>363392.85714285716</v>
      </c>
      <c r="AB9" s="85">
        <f ca="1">IF(ROUNDDOWN(Assumptions!$B$19/7,0)=0,0,IF(COLUMN(AB$4)-3&lt;=ROUNDDOWN(Assumptions!$B$19/7,0),SUM(OFFSET(Forecast!$B$5,0,MAX(1,COLUMN(AB$4)-COLUMN($C$4)-ROUNDDOWN(Assumptions!$B$19/7,0)+1),1,MIN(COLUMN(AB$4)-3,ROUNDDOWN(Assumptions!$B$19/7,0))))/(MIN(COLUMN(AB$4)-3,ROUNDDOWN(Assumptions!$B$19/7,0))*7)*Assumptions!$B$19,SUM(OFFSET(Forecast!$B$5,0,MAX(1,COLUMN(AB$4)-COLUMN($C$4)-ROUNDDOWN(Assumptions!$B$19/7,0)+1),1,MIN(COLUMN(AB$4)-3,ROUNDDOWN(Assumptions!$B$19/7,0))))))+IF(Assumptions!$B$19/7&gt;ROUNDDOWN(Assumptions!$B$19/7,0),IF(COLUMN(AB$4)-3&lt;ROUNDDOWN(Assumptions!$B$19/7,0)+1,0,SUM(OFFSET(Forecast!$B$5,0,MAX(1,COLUMN(AB$4)-COLUMN($C$4)-ROUNDDOWN(Assumptions!$B$19/7,0)),1,1))/7*(Assumptions!$B$19-(ROUNDDOWN(Assumptions!$B$19/7,0)*7))),0)</f>
        <v>374250</v>
      </c>
      <c r="AC9" s="85">
        <f ca="1">IF(ROUNDDOWN(Assumptions!$B$19/7,0)=0,0,IF(COLUMN(AC$4)-3&lt;=ROUNDDOWN(Assumptions!$B$19/7,0),SUM(OFFSET(Forecast!$B$5,0,MAX(1,COLUMN(AC$4)-COLUMN($C$4)-ROUNDDOWN(Assumptions!$B$19/7,0)+1),1,MIN(COLUMN(AC$4)-3,ROUNDDOWN(Assumptions!$B$19/7,0))))/(MIN(COLUMN(AC$4)-3,ROUNDDOWN(Assumptions!$B$19/7,0))*7)*Assumptions!$B$19,SUM(OFFSET(Forecast!$B$5,0,MAX(1,COLUMN(AC$4)-COLUMN($C$4)-ROUNDDOWN(Assumptions!$B$19/7,0)+1),1,MIN(COLUMN(AC$4)-3,ROUNDDOWN(Assumptions!$B$19/7,0))))))+IF(Assumptions!$B$19/7&gt;ROUNDDOWN(Assumptions!$B$19/7,0),IF(COLUMN(AC$4)-3&lt;ROUNDDOWN(Assumptions!$B$19/7,0)+1,0,SUM(OFFSET(Forecast!$B$5,0,MAX(1,COLUMN(AC$4)-COLUMN($C$4)-ROUNDDOWN(Assumptions!$B$19/7,0)),1,1))/7*(Assumptions!$B$19-(ROUNDDOWN(Assumptions!$B$19/7,0)*7))),0)</f>
        <v>377500</v>
      </c>
      <c r="AD9" s="25">
        <f ca="1">IF(ROUNDDOWN(Assumptions!$B$19/7,0)=0,0,IF(COLUMN(AD$4)-3&lt;=ROUNDDOWN(Assumptions!$B$19/7,0),SUM(OFFSET(Forecast!$B$5,0,MAX(1,COLUMN(AD$4)-COLUMN($C$4)-ROUNDDOWN(Assumptions!$B$19/7,0)+1),1,MIN(COLUMN(AD$4)-3,ROUNDDOWN(Assumptions!$B$19/7,0))))/(MIN(COLUMN(AD$4)-3,ROUNDDOWN(Assumptions!$B$19/7,0))*7)*Assumptions!$B$19,SUM(OFFSET(Forecast!$B$5,0,MAX(1,COLUMN(AD$4)-COLUMN($C$4)-ROUNDDOWN(Assumptions!$B$19/7,0)+1),1,MIN(COLUMN(AD$4)-3,ROUNDDOWN(Assumptions!$B$19/7,0))))))+IF(Assumptions!$B$19/7&gt;ROUNDDOWN(Assumptions!$B$19/7,0),IF(COLUMN(AD$4)-3&lt;ROUNDDOWN(Assumptions!$B$19/7,0)+1,0,SUM(OFFSET(Forecast!$B$5,0,MAX(1,COLUMN(AD$4)-COLUMN($C$4)-ROUNDDOWN(Assumptions!$B$19/7,0)),1,1))/7*(Assumptions!$B$19-(ROUNDDOWN(Assumptions!$B$19/7,0)*7))),0)</f>
        <v>382642.85714285716</v>
      </c>
      <c r="AE9" s="25">
        <f ca="1">IF(ROUNDDOWN(Assumptions!$B$19/7,0)=0,0,IF(COLUMN(AE$4)-3&lt;=ROUNDDOWN(Assumptions!$B$19/7,0),SUM(OFFSET(Forecast!$B$5,0,MAX(1,COLUMN(AE$4)-COLUMN($C$4)-ROUNDDOWN(Assumptions!$B$19/7,0)+1),1,MIN(COLUMN(AE$4)-3,ROUNDDOWN(Assumptions!$B$19/7,0))))/(MIN(COLUMN(AE$4)-3,ROUNDDOWN(Assumptions!$B$19/7,0))*7)*Assumptions!$B$19,SUM(OFFSET(Forecast!$B$5,0,MAX(1,COLUMN(AE$4)-COLUMN($C$4)-ROUNDDOWN(Assumptions!$B$19/7,0)+1),1,MIN(COLUMN(AE$4)-3,ROUNDDOWN(Assumptions!$B$19/7,0))))))+IF(Assumptions!$B$19/7&gt;ROUNDDOWN(Assumptions!$B$19/7,0),IF(COLUMN(AE$4)-3&lt;ROUNDDOWN(Assumptions!$B$19/7,0)+1,0,SUM(OFFSET(Forecast!$B$5,0,MAX(1,COLUMN(AE$4)-COLUMN($C$4)-ROUNDDOWN(Assumptions!$B$19/7,0)),1,1))/7*(Assumptions!$B$19-(ROUNDDOWN(Assumptions!$B$19/7,0)*7))),0)</f>
        <v>385857.14285714284</v>
      </c>
      <c r="AF9" s="25">
        <f ca="1">IF(ROUNDDOWN(Assumptions!$B$19/7,0)=0,0,IF(COLUMN(AF$4)-3&lt;=ROUNDDOWN(Assumptions!$B$19/7,0),SUM(OFFSET(Forecast!$B$5,0,MAX(1,COLUMN(AF$4)-COLUMN($C$4)-ROUNDDOWN(Assumptions!$B$19/7,0)+1),1,MIN(COLUMN(AF$4)-3,ROUNDDOWN(Assumptions!$B$19/7,0))))/(MIN(COLUMN(AF$4)-3,ROUNDDOWN(Assumptions!$B$19/7,0))*7)*Assumptions!$B$19,SUM(OFFSET(Forecast!$B$5,0,MAX(1,COLUMN(AF$4)-COLUMN($C$4)-ROUNDDOWN(Assumptions!$B$19/7,0)+1),1,MIN(COLUMN(AF$4)-3,ROUNDDOWN(Assumptions!$B$19/7,0))))))+IF(Assumptions!$B$19/7&gt;ROUNDDOWN(Assumptions!$B$19/7,0),IF(COLUMN(AF$4)-3&lt;ROUNDDOWN(Assumptions!$B$19/7,0)+1,0,SUM(OFFSET(Forecast!$B$5,0,MAX(1,COLUMN(AF$4)-COLUMN($C$4)-ROUNDDOWN(Assumptions!$B$19/7,0)),1,1))/7*(Assumptions!$B$19-(ROUNDDOWN(Assumptions!$B$19/7,0)*7))),0)</f>
        <v>389250</v>
      </c>
      <c r="AG9" s="25">
        <f ca="1">IF(ROUNDDOWN(Assumptions!$B$19/7,0)=0,0,IF(COLUMN(AG$4)-3&lt;=ROUNDDOWN(Assumptions!$B$19/7,0),SUM(OFFSET(Forecast!$B$5,0,MAX(1,COLUMN(AG$4)-COLUMN($C$4)-ROUNDDOWN(Assumptions!$B$19/7,0)+1),1,MIN(COLUMN(AG$4)-3,ROUNDDOWN(Assumptions!$B$19/7,0))))/(MIN(COLUMN(AG$4)-3,ROUNDDOWN(Assumptions!$B$19/7,0))*7)*Assumptions!$B$19,SUM(OFFSET(Forecast!$B$5,0,MAX(1,COLUMN(AG$4)-COLUMN($C$4)-ROUNDDOWN(Assumptions!$B$19/7,0)+1),1,MIN(COLUMN(AG$4)-3,ROUNDDOWN(Assumptions!$B$19/7,0))))))+IF(Assumptions!$B$19/7&gt;ROUNDDOWN(Assumptions!$B$19/7,0),IF(COLUMN(AG$4)-3&lt;ROUNDDOWN(Assumptions!$B$19/7,0)+1,0,SUM(OFFSET(Forecast!$B$5,0,MAX(1,COLUMN(AG$4)-COLUMN($C$4)-ROUNDDOWN(Assumptions!$B$19/7,0)),1,1))/7*(Assumptions!$B$19-(ROUNDDOWN(Assumptions!$B$19/7,0)*7))),0)</f>
        <v>387964.28571428574</v>
      </c>
      <c r="AH9" s="25">
        <f ca="1">IF(ROUNDDOWN(Assumptions!$B$19/7,0)=0,0,IF(COLUMN(AH$4)-3&lt;=ROUNDDOWN(Assumptions!$B$19/7,0),SUM(OFFSET(Forecast!$B$5,0,MAX(1,COLUMN(AH$4)-COLUMN($C$4)-ROUNDDOWN(Assumptions!$B$19/7,0)+1),1,MIN(COLUMN(AH$4)-3,ROUNDDOWN(Assumptions!$B$19/7,0))))/(MIN(COLUMN(AH$4)-3,ROUNDDOWN(Assumptions!$B$19/7,0))*7)*Assumptions!$B$19,SUM(OFFSET(Forecast!$B$5,0,MAX(1,COLUMN(AH$4)-COLUMN($C$4)-ROUNDDOWN(Assumptions!$B$19/7,0)+1),1,MIN(COLUMN(AH$4)-3,ROUNDDOWN(Assumptions!$B$19/7,0))))))+IF(Assumptions!$B$19/7&gt;ROUNDDOWN(Assumptions!$B$19/7,0),IF(COLUMN(AH$4)-3&lt;ROUNDDOWN(Assumptions!$B$19/7,0)+1,0,SUM(OFFSET(Forecast!$B$5,0,MAX(1,COLUMN(AH$4)-COLUMN($C$4)-ROUNDDOWN(Assumptions!$B$19/7,0)),1,1))/7*(Assumptions!$B$19-(ROUNDDOWN(Assumptions!$B$19/7,0)*7))),0)</f>
        <v>390607.14285714284</v>
      </c>
      <c r="AI9" s="25">
        <f ca="1">IF(ROUNDDOWN(Assumptions!$B$19/7,0)=0,0,IF(COLUMN(AI$4)-3&lt;=ROUNDDOWN(Assumptions!$B$19/7,0),SUM(OFFSET(Forecast!$B$5,0,MAX(1,COLUMN(AI$4)-COLUMN($C$4)-ROUNDDOWN(Assumptions!$B$19/7,0)+1),1,MIN(COLUMN(AI$4)-3,ROUNDDOWN(Assumptions!$B$19/7,0))))/(MIN(COLUMN(AI$4)-3,ROUNDDOWN(Assumptions!$B$19/7,0))*7)*Assumptions!$B$19,SUM(OFFSET(Forecast!$B$5,0,MAX(1,COLUMN(AI$4)-COLUMN($C$4)-ROUNDDOWN(Assumptions!$B$19/7,0)+1),1,MIN(COLUMN(AI$4)-3,ROUNDDOWN(Assumptions!$B$19/7,0))))))+IF(Assumptions!$B$19/7&gt;ROUNDDOWN(Assumptions!$B$19/7,0),IF(COLUMN(AI$4)-3&lt;ROUNDDOWN(Assumptions!$B$19/7,0)+1,0,SUM(OFFSET(Forecast!$B$5,0,MAX(1,COLUMN(AI$4)-COLUMN($C$4)-ROUNDDOWN(Assumptions!$B$19/7,0)),1,1))/7*(Assumptions!$B$19-(ROUNDDOWN(Assumptions!$B$19/7,0)*7))),0)</f>
        <v>390035.71428571426</v>
      </c>
      <c r="AJ9" s="25">
        <f ca="1">IF(ROUNDDOWN(Assumptions!$B$19/7,0)=0,0,IF(COLUMN(AJ$4)-3&lt;=ROUNDDOWN(Assumptions!$B$19/7,0),SUM(OFFSET(Forecast!$B$5,0,MAX(1,COLUMN(AJ$4)-COLUMN($C$4)-ROUNDDOWN(Assumptions!$B$19/7,0)+1),1,MIN(COLUMN(AJ$4)-3,ROUNDDOWN(Assumptions!$B$19/7,0))))/(MIN(COLUMN(AJ$4)-3,ROUNDDOWN(Assumptions!$B$19/7,0))*7)*Assumptions!$B$19,SUM(OFFSET(Forecast!$B$5,0,MAX(1,COLUMN(AJ$4)-COLUMN($C$4)-ROUNDDOWN(Assumptions!$B$19/7,0)+1),1,MIN(COLUMN(AJ$4)-3,ROUNDDOWN(Assumptions!$B$19/7,0))))))+IF(Assumptions!$B$19/7&gt;ROUNDDOWN(Assumptions!$B$19/7,0),IF(COLUMN(AJ$4)-3&lt;ROUNDDOWN(Assumptions!$B$19/7,0)+1,0,SUM(OFFSET(Forecast!$B$5,0,MAX(1,COLUMN(AJ$4)-COLUMN($C$4)-ROUNDDOWN(Assumptions!$B$19/7,0)),1,1))/7*(Assumptions!$B$19-(ROUNDDOWN(Assumptions!$B$19/7,0)*7))),0)</f>
        <v>392571.42857142858</v>
      </c>
      <c r="AK9" s="25">
        <f ca="1">IF(ROUNDDOWN(Assumptions!$B$19/7,0)=0,0,IF(COLUMN(AK$4)-3&lt;=ROUNDDOWN(Assumptions!$B$19/7,0),SUM(OFFSET(Forecast!$B$5,0,MAX(1,COLUMN(AK$4)-COLUMN($C$4)-ROUNDDOWN(Assumptions!$B$19/7,0)+1),1,MIN(COLUMN(AK$4)-3,ROUNDDOWN(Assumptions!$B$19/7,0))))/(MIN(COLUMN(AK$4)-3,ROUNDDOWN(Assumptions!$B$19/7,0))*7)*Assumptions!$B$19,SUM(OFFSET(Forecast!$B$5,0,MAX(1,COLUMN(AK$4)-COLUMN($C$4)-ROUNDDOWN(Assumptions!$B$19/7,0)+1),1,MIN(COLUMN(AK$4)-3,ROUNDDOWN(Assumptions!$B$19/7,0))))))+IF(Assumptions!$B$19/7&gt;ROUNDDOWN(Assumptions!$B$19/7,0),IF(COLUMN(AK$4)-3&lt;ROUNDDOWN(Assumptions!$B$19/7,0)+1,0,SUM(OFFSET(Forecast!$B$5,0,MAX(1,COLUMN(AK$4)-COLUMN($C$4)-ROUNDDOWN(Assumptions!$B$19/7,0)),1,1))/7*(Assumptions!$B$19-(ROUNDDOWN(Assumptions!$B$19/7,0)*7))),0)</f>
        <v>400928.57142857142</v>
      </c>
      <c r="AL9" s="25">
        <f ca="1">IF(ROUNDDOWN(Assumptions!$B$19/7,0)=0,0,IF(COLUMN(AL$4)-3&lt;=ROUNDDOWN(Assumptions!$B$19/7,0),SUM(OFFSET(Forecast!$B$5,0,MAX(1,COLUMN(AL$4)-COLUMN($C$4)-ROUNDDOWN(Assumptions!$B$19/7,0)+1),1,MIN(COLUMN(AL$4)-3,ROUNDDOWN(Assumptions!$B$19/7,0))))/(MIN(COLUMN(AL$4)-3,ROUNDDOWN(Assumptions!$B$19/7,0))*7)*Assumptions!$B$19,SUM(OFFSET(Forecast!$B$5,0,MAX(1,COLUMN(AL$4)-COLUMN($C$4)-ROUNDDOWN(Assumptions!$B$19/7,0)+1),1,MIN(COLUMN(AL$4)-3,ROUNDDOWN(Assumptions!$B$19/7,0))))))+IF(Assumptions!$B$19/7&gt;ROUNDDOWN(Assumptions!$B$19/7,0),IF(COLUMN(AL$4)-3&lt;ROUNDDOWN(Assumptions!$B$19/7,0)+1,0,SUM(OFFSET(Forecast!$B$5,0,MAX(1,COLUMN(AL$4)-COLUMN($C$4)-ROUNDDOWN(Assumptions!$B$19/7,0)),1,1))/7*(Assumptions!$B$19-(ROUNDDOWN(Assumptions!$B$19/7,0)*7))),0)</f>
        <v>402928.57142857142</v>
      </c>
      <c r="AM9" s="25">
        <f ca="1">IF(ROUNDDOWN(Assumptions!$B$19/7,0)=0,0,IF(COLUMN(AM$4)-3&lt;=ROUNDDOWN(Assumptions!$B$19/7,0),SUM(OFFSET(Forecast!$B$5,0,MAX(1,COLUMN(AM$4)-COLUMN($C$4)-ROUNDDOWN(Assumptions!$B$19/7,0)+1),1,MIN(COLUMN(AM$4)-3,ROUNDDOWN(Assumptions!$B$19/7,0))))/(MIN(COLUMN(AM$4)-3,ROUNDDOWN(Assumptions!$B$19/7,0))*7)*Assumptions!$B$19,SUM(OFFSET(Forecast!$B$5,0,MAX(1,COLUMN(AM$4)-COLUMN($C$4)-ROUNDDOWN(Assumptions!$B$19/7,0)+1),1,MIN(COLUMN(AM$4)-3,ROUNDDOWN(Assumptions!$B$19/7,0))))))+IF(Assumptions!$B$19/7&gt;ROUNDDOWN(Assumptions!$B$19/7,0),IF(COLUMN(AM$4)-3&lt;ROUNDDOWN(Assumptions!$B$19/7,0)+1,0,SUM(OFFSET(Forecast!$B$5,0,MAX(1,COLUMN(AM$4)-COLUMN($C$4)-ROUNDDOWN(Assumptions!$B$19/7,0)),1,1))/7*(Assumptions!$B$19-(ROUNDDOWN(Assumptions!$B$19/7,0)*7))),0)</f>
        <v>406500</v>
      </c>
      <c r="AN9" s="25">
        <f ca="1">IF(ROUNDDOWN(Assumptions!$B$19/7,0)=0,0,IF(COLUMN(AN$4)-3&lt;=ROUNDDOWN(Assumptions!$B$19/7,0),SUM(OFFSET(Forecast!$B$5,0,MAX(1,COLUMN(AN$4)-COLUMN($C$4)-ROUNDDOWN(Assumptions!$B$19/7,0)+1),1,MIN(COLUMN(AN$4)-3,ROUNDDOWN(Assumptions!$B$19/7,0))))/(MIN(COLUMN(AN$4)-3,ROUNDDOWN(Assumptions!$B$19/7,0))*7)*Assumptions!$B$19,SUM(OFFSET(Forecast!$B$5,0,MAX(1,COLUMN(AN$4)-COLUMN($C$4)-ROUNDDOWN(Assumptions!$B$19/7,0)+1),1,MIN(COLUMN(AN$4)-3,ROUNDDOWN(Assumptions!$B$19/7,0))))))+IF(Assumptions!$B$19/7&gt;ROUNDDOWN(Assumptions!$B$19/7,0),IF(COLUMN(AN$4)-3&lt;ROUNDDOWN(Assumptions!$B$19/7,0)+1,0,SUM(OFFSET(Forecast!$B$5,0,MAX(1,COLUMN(AN$4)-COLUMN($C$4)-ROUNDDOWN(Assumptions!$B$19/7,0)),1,1))/7*(Assumptions!$B$19-(ROUNDDOWN(Assumptions!$B$19/7,0)*7))),0)</f>
        <v>408714.28571428574</v>
      </c>
      <c r="AO9" s="25">
        <f ca="1">IF(ROUNDDOWN(Assumptions!$B$19/7,0)=0,0,IF(COLUMN(AO$4)-3&lt;=ROUNDDOWN(Assumptions!$B$19/7,0),SUM(OFFSET(Forecast!$B$5,0,MAX(1,COLUMN(AO$4)-COLUMN($C$4)-ROUNDDOWN(Assumptions!$B$19/7,0)+1),1,MIN(COLUMN(AO$4)-3,ROUNDDOWN(Assumptions!$B$19/7,0))))/(MIN(COLUMN(AO$4)-3,ROUNDDOWN(Assumptions!$B$19/7,0))*7)*Assumptions!$B$19,SUM(OFFSET(Forecast!$B$5,0,MAX(1,COLUMN(AO$4)-COLUMN($C$4)-ROUNDDOWN(Assumptions!$B$19/7,0)+1),1,MIN(COLUMN(AO$4)-3,ROUNDDOWN(Assumptions!$B$19/7,0))))))+IF(Assumptions!$B$19/7&gt;ROUNDDOWN(Assumptions!$B$19/7,0),IF(COLUMN(AO$4)-3&lt;ROUNDDOWN(Assumptions!$B$19/7,0)+1,0,SUM(OFFSET(Forecast!$B$5,0,MAX(1,COLUMN(AO$4)-COLUMN($C$4)-ROUNDDOWN(Assumptions!$B$19/7,0)),1,1))/7*(Assumptions!$B$19-(ROUNDDOWN(Assumptions!$B$19/7,0)*7))),0)</f>
        <v>405535.71428571426</v>
      </c>
      <c r="AP9" s="25">
        <f ca="1">IF(ROUNDDOWN(Assumptions!$B$19/7,0)=0,0,IF(COLUMN(AP$4)-3&lt;=ROUNDDOWN(Assumptions!$B$19/7,0),SUM(OFFSET(Forecast!$B$5,0,MAX(1,COLUMN(AP$4)-COLUMN($C$4)-ROUNDDOWN(Assumptions!$B$19/7,0)+1),1,MIN(COLUMN(AP$4)-3,ROUNDDOWN(Assumptions!$B$19/7,0))))/(MIN(COLUMN(AP$4)-3,ROUNDDOWN(Assumptions!$B$19/7,0))*7)*Assumptions!$B$19,SUM(OFFSET(Forecast!$B$5,0,MAX(1,COLUMN(AP$4)-COLUMN($C$4)-ROUNDDOWN(Assumptions!$B$19/7,0)+1),1,MIN(COLUMN(AP$4)-3,ROUNDDOWN(Assumptions!$B$19/7,0))))))+IF(Assumptions!$B$19/7&gt;ROUNDDOWN(Assumptions!$B$19/7,0),IF(COLUMN(AP$4)-3&lt;ROUNDDOWN(Assumptions!$B$19/7,0)+1,0,SUM(OFFSET(Forecast!$B$5,0,MAX(1,COLUMN(AP$4)-COLUMN($C$4)-ROUNDDOWN(Assumptions!$B$19/7,0)),1,1))/7*(Assumptions!$B$19-(ROUNDDOWN(Assumptions!$B$19/7,0)*7))),0)</f>
        <v>408821.42857142858</v>
      </c>
      <c r="AQ9" s="25">
        <f ca="1">IF(ROUNDDOWN(Assumptions!$B$19/7,0)=0,0,IF(COLUMN(AQ$4)-3&lt;=ROUNDDOWN(Assumptions!$B$19/7,0),SUM(OFFSET(Forecast!$B$5,0,MAX(1,COLUMN(AQ$4)-COLUMN($C$4)-ROUNDDOWN(Assumptions!$B$19/7,0)+1),1,MIN(COLUMN(AQ$4)-3,ROUNDDOWN(Assumptions!$B$19/7,0))))/(MIN(COLUMN(AQ$4)-3,ROUNDDOWN(Assumptions!$B$19/7,0))*7)*Assumptions!$B$19,SUM(OFFSET(Forecast!$B$5,0,MAX(1,COLUMN(AQ$4)-COLUMN($C$4)-ROUNDDOWN(Assumptions!$B$19/7,0)+1),1,MIN(COLUMN(AQ$4)-3,ROUNDDOWN(Assumptions!$B$19/7,0))))))+IF(Assumptions!$B$19/7&gt;ROUNDDOWN(Assumptions!$B$19/7,0),IF(COLUMN(AQ$4)-3&lt;ROUNDDOWN(Assumptions!$B$19/7,0)+1,0,SUM(OFFSET(Forecast!$B$5,0,MAX(1,COLUMN(AQ$4)-COLUMN($C$4)-ROUNDDOWN(Assumptions!$B$19/7,0)),1,1))/7*(Assumptions!$B$19-(ROUNDDOWN(Assumptions!$B$19/7,0)*7))),0)</f>
        <v>402592.85714285716</v>
      </c>
      <c r="AR9" s="25">
        <f ca="1">IF(ROUNDDOWN(Assumptions!$B$19/7,0)=0,0,IF(COLUMN(AR$4)-3&lt;=ROUNDDOWN(Assumptions!$B$19/7,0),SUM(OFFSET(Forecast!$B$5,0,MAX(1,COLUMN(AR$4)-COLUMN($C$4)-ROUNDDOWN(Assumptions!$B$19/7,0)+1),1,MIN(COLUMN(AR$4)-3,ROUNDDOWN(Assumptions!$B$19/7,0))))/(MIN(COLUMN(AR$4)-3,ROUNDDOWN(Assumptions!$B$19/7,0))*7)*Assumptions!$B$19,SUM(OFFSET(Forecast!$B$5,0,MAX(1,COLUMN(AR$4)-COLUMN($C$4)-ROUNDDOWN(Assumptions!$B$19/7,0)+1),1,MIN(COLUMN(AR$4)-3,ROUNDDOWN(Assumptions!$B$19/7,0))))))+IF(Assumptions!$B$19/7&gt;ROUNDDOWN(Assumptions!$B$19/7,0),IF(COLUMN(AR$4)-3&lt;ROUNDDOWN(Assumptions!$B$19/7,0)+1,0,SUM(OFFSET(Forecast!$B$5,0,MAX(1,COLUMN(AR$4)-COLUMN($C$4)-ROUNDDOWN(Assumptions!$B$19/7,0)),1,1))/7*(Assumptions!$B$19-(ROUNDDOWN(Assumptions!$B$19/7,0)*7))),0)</f>
        <v>382000</v>
      </c>
      <c r="AS9" s="25">
        <f ca="1">IF(ROUNDDOWN(Assumptions!$B$19/7,0)=0,0,IF(COLUMN(AS$4)-3&lt;=ROUNDDOWN(Assumptions!$B$19/7,0),SUM(OFFSET(Forecast!$B$5,0,MAX(1,COLUMN(AS$4)-COLUMN($C$4)-ROUNDDOWN(Assumptions!$B$19/7,0)+1),1,MIN(COLUMN(AS$4)-3,ROUNDDOWN(Assumptions!$B$19/7,0))))/(MIN(COLUMN(AS$4)-3,ROUNDDOWN(Assumptions!$B$19/7,0))*7)*Assumptions!$B$19,SUM(OFFSET(Forecast!$B$5,0,MAX(1,COLUMN(AS$4)-COLUMN($C$4)-ROUNDDOWN(Assumptions!$B$19/7,0)+1),1,MIN(COLUMN(AS$4)-3,ROUNDDOWN(Assumptions!$B$19/7,0))))))+IF(Assumptions!$B$19/7&gt;ROUNDDOWN(Assumptions!$B$19/7,0),IF(COLUMN(AS$4)-3&lt;ROUNDDOWN(Assumptions!$B$19/7,0)+1,0,SUM(OFFSET(Forecast!$B$5,0,MAX(1,COLUMN(AS$4)-COLUMN($C$4)-ROUNDDOWN(Assumptions!$B$19/7,0)),1,1))/7*(Assumptions!$B$19-(ROUNDDOWN(Assumptions!$B$19/7,0)*7))),0)</f>
        <v>366914.28571428574</v>
      </c>
      <c r="AT9" s="25">
        <f ca="1">IF(ROUNDDOWN(Assumptions!$B$19/7,0)=0,0,IF(COLUMN(AT$4)-3&lt;=ROUNDDOWN(Assumptions!$B$19/7,0),SUM(OFFSET(Forecast!$B$5,0,MAX(1,COLUMN(AT$4)-COLUMN($C$4)-ROUNDDOWN(Assumptions!$B$19/7,0)+1),1,MIN(COLUMN(AT$4)-3,ROUNDDOWN(Assumptions!$B$19/7,0))))/(MIN(COLUMN(AT$4)-3,ROUNDDOWN(Assumptions!$B$19/7,0))*7)*Assumptions!$B$19,SUM(OFFSET(Forecast!$B$5,0,MAX(1,COLUMN(AT$4)-COLUMN($C$4)-ROUNDDOWN(Assumptions!$B$19/7,0)+1),1,MIN(COLUMN(AT$4)-3,ROUNDDOWN(Assumptions!$B$19/7,0))))))+IF(Assumptions!$B$19/7&gt;ROUNDDOWN(Assumptions!$B$19/7,0),IF(COLUMN(AT$4)-3&lt;ROUNDDOWN(Assumptions!$B$19/7,0)+1,0,SUM(OFFSET(Forecast!$B$5,0,MAX(1,COLUMN(AT$4)-COLUMN($C$4)-ROUNDDOWN(Assumptions!$B$19/7,0)),1,1))/7*(Assumptions!$B$19-(ROUNDDOWN(Assumptions!$B$19/7,0)*7))),0)</f>
        <v>331257.14285714284</v>
      </c>
      <c r="AU9" s="25">
        <f ca="1">IF(ROUNDDOWN(Assumptions!$B$19/7,0)=0,0,IF(COLUMN(AU$4)-3&lt;=ROUNDDOWN(Assumptions!$B$19/7,0),SUM(OFFSET(Forecast!$B$5,0,MAX(1,COLUMN(AU$4)-COLUMN($C$4)-ROUNDDOWN(Assumptions!$B$19/7,0)+1),1,MIN(COLUMN(AU$4)-3,ROUNDDOWN(Assumptions!$B$19/7,0))))/(MIN(COLUMN(AU$4)-3,ROUNDDOWN(Assumptions!$B$19/7,0))*7)*Assumptions!$B$19,SUM(OFFSET(Forecast!$B$5,0,MAX(1,COLUMN(AU$4)-COLUMN($C$4)-ROUNDDOWN(Assumptions!$B$19/7,0)+1),1,MIN(COLUMN(AU$4)-3,ROUNDDOWN(Assumptions!$B$19/7,0))))))+IF(Assumptions!$B$19/7&gt;ROUNDDOWN(Assumptions!$B$19/7,0),IF(COLUMN(AU$4)-3&lt;ROUNDDOWN(Assumptions!$B$19/7,0)+1,0,SUM(OFFSET(Forecast!$B$5,0,MAX(1,COLUMN(AU$4)-COLUMN($C$4)-ROUNDDOWN(Assumptions!$B$19/7,0)),1,1))/7*(Assumptions!$B$19-(ROUNDDOWN(Assumptions!$B$19/7,0)*7))),0)</f>
        <v>291420</v>
      </c>
      <c r="AV9" s="25">
        <f ca="1">IF(ROUNDDOWN(Assumptions!$B$19/7,0)=0,0,IF(COLUMN(AV$4)-3&lt;=ROUNDDOWN(Assumptions!$B$19/7,0),SUM(OFFSET(Forecast!$B$5,0,MAX(1,COLUMN(AV$4)-COLUMN($C$4)-ROUNDDOWN(Assumptions!$B$19/7,0)+1),1,MIN(COLUMN(AV$4)-3,ROUNDDOWN(Assumptions!$B$19/7,0))))/(MIN(COLUMN(AV$4)-3,ROUNDDOWN(Assumptions!$B$19/7,0))*7)*Assumptions!$B$19,SUM(OFFSET(Forecast!$B$5,0,MAX(1,COLUMN(AV$4)-COLUMN($C$4)-ROUNDDOWN(Assumptions!$B$19/7,0)+1),1,MIN(COLUMN(AV$4)-3,ROUNDDOWN(Assumptions!$B$19/7,0))))))+IF(Assumptions!$B$19/7&gt;ROUNDDOWN(Assumptions!$B$19/7,0),IF(COLUMN(AV$4)-3&lt;ROUNDDOWN(Assumptions!$B$19/7,0)+1,0,SUM(OFFSET(Forecast!$B$5,0,MAX(1,COLUMN(AV$4)-COLUMN($C$4)-ROUNDDOWN(Assumptions!$B$19/7,0)),1,1))/7*(Assumptions!$B$19-(ROUNDDOWN(Assumptions!$B$19/7,0)*7))),0)</f>
        <v>267754.28571428574</v>
      </c>
      <c r="AW9" s="25">
        <f ca="1">IF(ROUNDDOWN(Assumptions!$B$19/7,0)=0,0,IF(COLUMN(AW$4)-3&lt;=ROUNDDOWN(Assumptions!$B$19/7,0),SUM(OFFSET(Forecast!$B$5,0,MAX(1,COLUMN(AW$4)-COLUMN($C$4)-ROUNDDOWN(Assumptions!$B$19/7,0)+1),1,MIN(COLUMN(AW$4)-3,ROUNDDOWN(Assumptions!$B$19/7,0))))/(MIN(COLUMN(AW$4)-3,ROUNDDOWN(Assumptions!$B$19/7,0))*7)*Assumptions!$B$19,SUM(OFFSET(Forecast!$B$5,0,MAX(1,COLUMN(AW$4)-COLUMN($C$4)-ROUNDDOWN(Assumptions!$B$19/7,0)+1),1,MIN(COLUMN(AW$4)-3,ROUNDDOWN(Assumptions!$B$19/7,0))))))+IF(Assumptions!$B$19/7&gt;ROUNDDOWN(Assumptions!$B$19/7,0),IF(COLUMN(AW$4)-3&lt;ROUNDDOWN(Assumptions!$B$19/7,0)+1,0,SUM(OFFSET(Forecast!$B$5,0,MAX(1,COLUMN(AW$4)-COLUMN($C$4)-ROUNDDOWN(Assumptions!$B$19/7,0)),1,1))/7*(Assumptions!$B$19-(ROUNDDOWN(Assumptions!$B$19/7,0)*7))),0)</f>
        <v>257918.57142857142</v>
      </c>
      <c r="AX9" s="25">
        <f ca="1">IF(ROUNDDOWN(Assumptions!$B$19/7,0)=0,0,IF(COLUMN(AX$4)-3&lt;=ROUNDDOWN(Assumptions!$B$19/7,0),SUM(OFFSET(Forecast!$B$5,0,MAX(1,COLUMN(AX$4)-COLUMN($C$4)-ROUNDDOWN(Assumptions!$B$19/7,0)+1),1,MIN(COLUMN(AX$4)-3,ROUNDDOWN(Assumptions!$B$19/7,0))))/(MIN(COLUMN(AX$4)-3,ROUNDDOWN(Assumptions!$B$19/7,0))*7)*Assumptions!$B$19,SUM(OFFSET(Forecast!$B$5,0,MAX(1,COLUMN(AX$4)-COLUMN($C$4)-ROUNDDOWN(Assumptions!$B$19/7,0)+1),1,MIN(COLUMN(AX$4)-3,ROUNDDOWN(Assumptions!$B$19/7,0))))))+IF(Assumptions!$B$19/7&gt;ROUNDDOWN(Assumptions!$B$19/7,0),IF(COLUMN(AX$4)-3&lt;ROUNDDOWN(Assumptions!$B$19/7,0)+1,0,SUM(OFFSET(Forecast!$B$5,0,MAX(1,COLUMN(AX$4)-COLUMN($C$4)-ROUNDDOWN(Assumptions!$B$19/7,0)),1,1))/7*(Assumptions!$B$19-(ROUNDDOWN(Assumptions!$B$19/7,0)*7))),0)</f>
        <v>287552.85714285716</v>
      </c>
      <c r="AY9" s="25">
        <f ca="1">IF(ROUNDDOWN(Assumptions!$B$19/7,0)=0,0,IF(COLUMN(AY$4)-3&lt;=ROUNDDOWN(Assumptions!$B$19/7,0),SUM(OFFSET(Forecast!$B$5,0,MAX(1,COLUMN(AY$4)-COLUMN($C$4)-ROUNDDOWN(Assumptions!$B$19/7,0)+1),1,MIN(COLUMN(AY$4)-3,ROUNDDOWN(Assumptions!$B$19/7,0))))/(MIN(COLUMN(AY$4)-3,ROUNDDOWN(Assumptions!$B$19/7,0))*7)*Assumptions!$B$19,SUM(OFFSET(Forecast!$B$5,0,MAX(1,COLUMN(AY$4)-COLUMN($C$4)-ROUNDDOWN(Assumptions!$B$19/7,0)+1),1,MIN(COLUMN(AY$4)-3,ROUNDDOWN(Assumptions!$B$19/7,0))))))+IF(Assumptions!$B$19/7&gt;ROUNDDOWN(Assumptions!$B$19/7,0),IF(COLUMN(AY$4)-3&lt;ROUNDDOWN(Assumptions!$B$19/7,0)+1,0,SUM(OFFSET(Forecast!$B$5,0,MAX(1,COLUMN(AY$4)-COLUMN($C$4)-ROUNDDOWN(Assumptions!$B$19/7,0)),1,1))/7*(Assumptions!$B$19-(ROUNDDOWN(Assumptions!$B$19/7,0)*7))),0)</f>
        <v>328767.14285714284</v>
      </c>
      <c r="AZ9" s="25">
        <f ca="1">IF(ROUNDDOWN(Assumptions!$B$19/7,0)=0,0,IF(COLUMN(AZ$4)-3&lt;=ROUNDDOWN(Assumptions!$B$19/7,0),SUM(OFFSET(Forecast!$B$5,0,MAX(1,COLUMN(AZ$4)-COLUMN($C$4)-ROUNDDOWN(Assumptions!$B$19/7,0)+1),1,MIN(COLUMN(AZ$4)-3,ROUNDDOWN(Assumptions!$B$19/7,0))))/(MIN(COLUMN(AZ$4)-3,ROUNDDOWN(Assumptions!$B$19/7,0))*7)*Assumptions!$B$19,SUM(OFFSET(Forecast!$B$5,0,MAX(1,COLUMN(AZ$4)-COLUMN($C$4)-ROUNDDOWN(Assumptions!$B$19/7,0)+1),1,MIN(COLUMN(AZ$4)-3,ROUNDDOWN(Assumptions!$B$19/7,0))))))+IF(Assumptions!$B$19/7&gt;ROUNDDOWN(Assumptions!$B$19/7,0),IF(COLUMN(AZ$4)-3&lt;ROUNDDOWN(Assumptions!$B$19/7,0)+1,0,SUM(OFFSET(Forecast!$B$5,0,MAX(1,COLUMN(AZ$4)-COLUMN($C$4)-ROUNDDOWN(Assumptions!$B$19/7,0)),1,1))/7*(Assumptions!$B$19-(ROUNDDOWN(Assumptions!$B$19/7,0)*7))),0)</f>
        <v>371675.71428571426</v>
      </c>
      <c r="BA9" s="25">
        <f ca="1">IF(ROUNDDOWN(Assumptions!$B$19/7,0)=0,0,IF(COLUMN(BA$4)-3&lt;=ROUNDDOWN(Assumptions!$B$19/7,0),SUM(OFFSET(Forecast!$B$5,0,MAX(1,COLUMN(BA$4)-COLUMN($C$4)-ROUNDDOWN(Assumptions!$B$19/7,0)+1),1,MIN(COLUMN(BA$4)-3,ROUNDDOWN(Assumptions!$B$19/7,0))))/(MIN(COLUMN(BA$4)-3,ROUNDDOWN(Assumptions!$B$19/7,0))*7)*Assumptions!$B$19,SUM(OFFSET(Forecast!$B$5,0,MAX(1,COLUMN(BA$4)-COLUMN($C$4)-ROUNDDOWN(Assumptions!$B$19/7,0)+1),1,MIN(COLUMN(BA$4)-3,ROUNDDOWN(Assumptions!$B$19/7,0))))))+IF(Assumptions!$B$19/7&gt;ROUNDDOWN(Assumptions!$B$19/7,0),IF(COLUMN(BA$4)-3&lt;ROUNDDOWN(Assumptions!$B$19/7,0)+1,0,SUM(OFFSET(Forecast!$B$5,0,MAX(1,COLUMN(BA$4)-COLUMN($C$4)-ROUNDDOWN(Assumptions!$B$19/7,0)),1,1))/7*(Assumptions!$B$19-(ROUNDDOWN(Assumptions!$B$19/7,0)*7))),0)</f>
        <v>408620</v>
      </c>
      <c r="BB9" s="25">
        <f ca="1">IF(ROUNDDOWN(Assumptions!$B$19/7,0)=0,0,IF(COLUMN(BB$4)-3&lt;=ROUNDDOWN(Assumptions!$B$19/7,0),SUM(OFFSET(Forecast!$B$5,0,MAX(1,COLUMN(BB$4)-COLUMN($C$4)-ROUNDDOWN(Assumptions!$B$19/7,0)+1),1,MIN(COLUMN(BB$4)-3,ROUNDDOWN(Assumptions!$B$19/7,0))))/(MIN(COLUMN(BB$4)-3,ROUNDDOWN(Assumptions!$B$19/7,0))*7)*Assumptions!$B$19,SUM(OFFSET(Forecast!$B$5,0,MAX(1,COLUMN(BB$4)-COLUMN($C$4)-ROUNDDOWN(Assumptions!$B$19/7,0)+1),1,MIN(COLUMN(BB$4)-3,ROUNDDOWN(Assumptions!$B$19/7,0))))))+IF(Assumptions!$B$19/7&gt;ROUNDDOWN(Assumptions!$B$19/7,0),IF(COLUMN(BB$4)-3&lt;ROUNDDOWN(Assumptions!$B$19/7,0)+1,0,SUM(OFFSET(Forecast!$B$5,0,MAX(1,COLUMN(BB$4)-COLUMN($C$4)-ROUNDDOWN(Assumptions!$B$19/7,0)),1,1))/7*(Assumptions!$B$19-(ROUNDDOWN(Assumptions!$B$19/7,0)*7))),0)</f>
        <v>419420</v>
      </c>
      <c r="BC9" s="25">
        <f ca="1">IF(ROUNDDOWN(Assumptions!$B$19/7,0)=0,0,IF(COLUMN(BC$4)-3&lt;=ROUNDDOWN(Assumptions!$B$19/7,0),SUM(OFFSET(Forecast!$B$5,0,MAX(1,COLUMN(BC$4)-COLUMN($C$4)-ROUNDDOWN(Assumptions!$B$19/7,0)+1),1,MIN(COLUMN(BC$4)-3,ROUNDDOWN(Assumptions!$B$19/7,0))))/(MIN(COLUMN(BC$4)-3,ROUNDDOWN(Assumptions!$B$19/7,0))*7)*Assumptions!$B$19,SUM(OFFSET(Forecast!$B$5,0,MAX(1,COLUMN(BC$4)-COLUMN($C$4)-ROUNDDOWN(Assumptions!$B$19/7,0)+1),1,MIN(COLUMN(BC$4)-3,ROUNDDOWN(Assumptions!$B$19/7,0))))))+IF(Assumptions!$B$19/7&gt;ROUNDDOWN(Assumptions!$B$19/7,0),IF(COLUMN(BC$4)-3&lt;ROUNDDOWN(Assumptions!$B$19/7,0)+1,0,SUM(OFFSET(Forecast!$B$5,0,MAX(1,COLUMN(BC$4)-COLUMN($C$4)-ROUNDDOWN(Assumptions!$B$19/7,0)),1,1))/7*(Assumptions!$B$19-(ROUNDDOWN(Assumptions!$B$19/7,0)*7))),0)</f>
        <v>420642.85714285716</v>
      </c>
      <c r="BD9" s="25">
        <f ca="1">OFFSET($B9,0,Assumptions!$B$7+1,1,1)</f>
        <v>343428.57142857142</v>
      </c>
      <c r="BE9" s="25">
        <f ca="1">OFFSET($B9,0,SUM(Assumptions!$B$7:$B$8)+1,1,1)</f>
        <v>377500</v>
      </c>
      <c r="BF9" s="25">
        <f ca="1">OFFSET($B9,0,SUM(Assumptions!$B$7:$B$9)+1,1,1)</f>
        <v>408821.42857142858</v>
      </c>
      <c r="BG9" s="25">
        <f ca="1">OFFSET($B9,0,SUM(Assumptions!$B$7:$B$10)+1,1,1)</f>
        <v>420642.85714285716</v>
      </c>
      <c r="BH9" s="25">
        <f ca="1">BG9</f>
        <v>420642.85714285716</v>
      </c>
    </row>
    <row r="10" spans="2:60" ht="15" customHeight="1" x14ac:dyDescent="0.3">
      <c r="B10" s="15" t="s">
        <v>37</v>
      </c>
      <c r="C10" s="25">
        <f>Assumptions!$B$25</f>
        <v>21000</v>
      </c>
      <c r="D10" s="25">
        <f ca="1">OFFSET(Forecast!$B$82,0,COLUMN(D$4)-COLUMN($C$4),1,1)</f>
        <v>-65693.290415929208</v>
      </c>
      <c r="E10" s="25">
        <f ca="1">OFFSET(Forecast!$B$82,0,COLUMN(E$4)-COLUMN($C$4),1,1)</f>
        <v>-34186.004701643484</v>
      </c>
      <c r="F10" s="25">
        <f ca="1">OFFSET(Forecast!$B$82,0,COLUMN(F$4)-COLUMN($C$4),1,1)</f>
        <v>-43674.242796881634</v>
      </c>
      <c r="G10" s="25">
        <f ca="1">OFFSET(Forecast!$B$82,0,COLUMN(G$4)-COLUMN($C$4),1,1)</f>
        <v>-26518.4332730721</v>
      </c>
      <c r="H10" s="25">
        <f ca="1">OFFSET(Forecast!$B$82,0,COLUMN(H$4)-COLUMN($C$4),1,1)</f>
        <v>-17656.433273072085</v>
      </c>
      <c r="I10" s="25">
        <f ca="1">OFFSET(Forecast!$B$82,0,COLUMN(I$4)-COLUMN($C$4),1,1)</f>
        <v>-35778.937974715584</v>
      </c>
      <c r="J10" s="25">
        <f ca="1">OFFSET(Forecast!$B$82,0,COLUMN(J$4)-COLUMN($C$4),1,1)</f>
        <v>-21243.580831858424</v>
      </c>
      <c r="K10" s="25">
        <f ca="1">OFFSET(Forecast!$B$82,0,COLUMN(K$4)-COLUMN($C$4),1,1)</f>
        <v>-10597.509403286975</v>
      </c>
      <c r="L10" s="25">
        <f ca="1">OFFSET(Forecast!$B$82,0,COLUMN(L$4)-COLUMN($C$4),1,1)</f>
        <v>7435.3477395701557</v>
      </c>
      <c r="M10" s="25">
        <f ca="1">OFFSET(Forecast!$B$82,0,COLUMN(M$4)-COLUMN($C$4),1,1)</f>
        <v>-2256.514104930473</v>
      </c>
      <c r="N10" s="25">
        <f ca="1">OFFSET(Forecast!$B$82,0,COLUMN(N$4)-COLUMN($C$4),1,1)</f>
        <v>-1475.0855335019223</v>
      </c>
      <c r="O10" s="25">
        <f ca="1">OFFSET(Forecast!$B$82,0,COLUMN(O$4)-COLUMN($C$4),1,1)</f>
        <v>-147.22839064477739</v>
      </c>
      <c r="P10" s="25">
        <f ca="1">OFFSET(Forecast!$B$82,0,COLUMN(P$4)-COLUMN($C$4),1,1)</f>
        <v>14432.914466498078</v>
      </c>
      <c r="Q10" s="25">
        <f ca="1">OFFSET(Forecast!$B$82,0,COLUMN(Q$4)-COLUMN($C$4),1,1)</f>
        <v>5925.3768698999957</v>
      </c>
      <c r="R10" s="25">
        <f ca="1">OFFSET(Forecast!$B$82,0,COLUMN(R$4)-COLUMN($C$4),1,1)</f>
        <v>7133.9482984714159</v>
      </c>
      <c r="S10" s="25">
        <f ca="1">OFFSET(Forecast!$B$82,0,COLUMN(S$4)-COLUMN($C$4),1,1)</f>
        <v>14040.734012757141</v>
      </c>
      <c r="T10" s="25">
        <f ca="1">OFFSET(Forecast!$B$82,0,COLUMN(T$4)-COLUMN($C$4),1,1)</f>
        <v>29281.805441328546</v>
      </c>
      <c r="U10" s="25">
        <f ca="1">OFFSET(Forecast!$B$82,0,COLUMN(U$4)-COLUMN($C$4),1,1)</f>
        <v>53518.948298471412</v>
      </c>
      <c r="V10" s="25">
        <f ca="1">OFFSET(Forecast!$B$82,0,COLUMN(V$4)-COLUMN($C$4),1,1)</f>
        <v>35759.482130444754</v>
      </c>
      <c r="W10" s="25">
        <f ca="1">OFFSET(Forecast!$B$82,0,COLUMN(W$4)-COLUMN($C$4),1,1)</f>
        <v>45677.339273301885</v>
      </c>
      <c r="X10" s="25">
        <f ca="1">OFFSET(Forecast!$B$82,0,COLUMN(X$4)-COLUMN($C$4),1,1)</f>
        <v>63117.767844730435</v>
      </c>
      <c r="Y10" s="25">
        <f ca="1">OFFSET(Forecast!$B$82,0,COLUMN(Y$4)-COLUMN($C$4),1,1)</f>
        <v>90100.339273301914</v>
      </c>
      <c r="Z10" s="25">
        <f ca="1">OFFSET(Forecast!$B$82,0,COLUMN(Z$4)-COLUMN($C$4),1,1)</f>
        <v>27875.515962418096</v>
      </c>
      <c r="AA10" s="25">
        <f ca="1">OFFSET(Forecast!$B$82,0,COLUMN(AA$4)-COLUMN($C$4),1,1)</f>
        <v>29671.230248132357</v>
      </c>
      <c r="AB10" s="25">
        <f ca="1">OFFSET(Forecast!$B$82,0,COLUMN(AB$4)-COLUMN($C$4),1,1)</f>
        <v>33461.230248132386</v>
      </c>
      <c r="AC10" s="25">
        <f ca="1">OFFSET(Forecast!$B$82,0,COLUMN(AC$4)-COLUMN($C$4),1,1)</f>
        <v>-18819.808791446914</v>
      </c>
      <c r="AD10" s="25">
        <f ca="1">OFFSET(Forecast!$B$82,0,COLUMN(AD$4)-COLUMN($C$4),1,1)</f>
        <v>2735.1912085530857</v>
      </c>
      <c r="AE10" s="25">
        <f ca="1">OFFSET(Forecast!$B$82,0,COLUMN(AE$4)-COLUMN($C$4),1,1)</f>
        <v>-12571.060673759286</v>
      </c>
      <c r="AF10" s="25">
        <f ca="1">OFFSET(Forecast!$B$82,0,COLUMN(AF$4)-COLUMN($C$4),1,1)</f>
        <v>-45896.77495947358</v>
      </c>
      <c r="AG10" s="25">
        <f ca="1">OFFSET(Forecast!$B$82,0,COLUMN(AG$4)-COLUMN($C$4),1,1)</f>
        <v>-20292.489245187899</v>
      </c>
      <c r="AH10" s="25">
        <f ca="1">OFFSET(Forecast!$B$82,0,COLUMN(AH$4)-COLUMN($C$4),1,1)</f>
        <v>5750.36789766929</v>
      </c>
      <c r="AI10" s="25">
        <f ca="1">OFFSET(Forecast!$B$82,0,COLUMN(AI$4)-COLUMN($C$4),1,1)</f>
        <v>12475.687443928337</v>
      </c>
      <c r="AJ10" s="25">
        <f ca="1">OFFSET(Forecast!$B$82,0,COLUMN(AJ$4)-COLUMN($C$4),1,1)</f>
        <v>30930.830301071175</v>
      </c>
      <c r="AK10" s="25">
        <f ca="1">OFFSET(Forecast!$B$82,0,COLUMN(AK$4)-COLUMN($C$4),1,1)</f>
        <v>33711.544586785465</v>
      </c>
      <c r="AL10" s="25">
        <f ca="1">OFFSET(Forecast!$B$82,0,COLUMN(AL$4)-COLUMN($C$4),1,1)</f>
        <v>56428.116015356885</v>
      </c>
      <c r="AM10" s="25">
        <f ca="1">OFFSET(Forecast!$B$82,0,COLUMN(AM$4)-COLUMN($C$4),1,1)</f>
        <v>37276.29270447306</v>
      </c>
      <c r="AN10" s="25">
        <f ca="1">OFFSET(Forecast!$B$82,0,COLUMN(AN$4)-COLUMN($C$4),1,1)</f>
        <v>53089.149847330191</v>
      </c>
      <c r="AO10" s="25">
        <f ca="1">OFFSET(Forecast!$B$82,0,COLUMN(AO$4)-COLUMN($C$4),1,1)</f>
        <v>72162.721275901669</v>
      </c>
      <c r="AP10" s="25">
        <f ca="1">OFFSET(Forecast!$B$82,0,COLUMN(AP$4)-COLUMN($C$4),1,1)</f>
        <v>97262.72127590164</v>
      </c>
      <c r="AQ10" s="25">
        <f ca="1">OFFSET(Forecast!$B$82,0,COLUMN(AQ$4)-COLUMN($C$4),1,1)</f>
        <v>129992.72127590164</v>
      </c>
      <c r="AR10" s="25">
        <f ca="1">OFFSET(Forecast!$B$82,0,COLUMN(AR$4)-COLUMN($C$4),1,1)</f>
        <v>125825.75510787498</v>
      </c>
      <c r="AS10" s="25">
        <f ca="1">OFFSET(Forecast!$B$82,0,COLUMN(AS$4)-COLUMN($C$4),1,1)</f>
        <v>166269.3265364464</v>
      </c>
      <c r="AT10" s="25">
        <f ca="1">OFFSET(Forecast!$B$82,0,COLUMN(AT$4)-COLUMN($C$4),1,1)</f>
        <v>219029.32653644643</v>
      </c>
      <c r="AU10" s="25">
        <f ca="1">OFFSET(Forecast!$B$82,0,COLUMN(AU$4)-COLUMN($C$4),1,1)</f>
        <v>253505.89796501782</v>
      </c>
      <c r="AV10" s="25">
        <f ca="1">OFFSET(Forecast!$B$82,0,COLUMN(AV$4)-COLUMN($C$4),1,1)</f>
        <v>265900.36036841973</v>
      </c>
      <c r="AW10" s="25">
        <f ca="1">OFFSET(Forecast!$B$82,0,COLUMN(AW$4)-COLUMN($C$4),1,1)</f>
        <v>272547.78893984831</v>
      </c>
      <c r="AX10" s="25">
        <f ca="1">OFFSET(Forecast!$B$82,0,COLUMN(AX$4)-COLUMN($C$4),1,1)</f>
        <v>263506.78893984831</v>
      </c>
      <c r="AY10" s="25">
        <f ca="1">OFFSET(Forecast!$B$82,0,COLUMN(AY$4)-COLUMN($C$4),1,1)</f>
        <v>242839.93179699121</v>
      </c>
      <c r="AZ10" s="25">
        <f ca="1">OFFSET(Forecast!$B$82,0,COLUMN(AZ$4)-COLUMN($C$4),1,1)</f>
        <v>184750.96562896451</v>
      </c>
      <c r="BA10" s="25">
        <f ca="1">OFFSET(Forecast!$B$82,0,COLUMN(BA$4)-COLUMN($C$4),1,1)</f>
        <v>155854.39420039306</v>
      </c>
      <c r="BB10" s="25">
        <f ca="1">OFFSET(Forecast!$B$82,0,COLUMN(BB$4)-COLUMN($C$4),1,1)</f>
        <v>163887.67991467877</v>
      </c>
      <c r="BC10" s="25">
        <f ca="1">OFFSET(Forecast!$B$82,0,COLUMN(BC$4)-COLUMN($C$4),1,1)</f>
        <v>102373.39544852044</v>
      </c>
      <c r="BD10" s="25">
        <f ca="1">OFFSET($B10,0,Assumptions!$B$7+1,1,1)</f>
        <v>14432.914466498078</v>
      </c>
      <c r="BE10" s="25">
        <f ca="1">OFFSET($B10,0,SUM(Assumptions!$B$7:$B$8)+1,1,1)</f>
        <v>-18819.808791446914</v>
      </c>
      <c r="BF10" s="25">
        <f ca="1">OFFSET($B10,0,SUM(Assumptions!$B$7:$B$9)+1,1,1)</f>
        <v>97262.72127590164</v>
      </c>
      <c r="BG10" s="25">
        <f ca="1">OFFSET($B10,0,SUM(Assumptions!$B$7:$B$10)+1,1,1)</f>
        <v>102373.39544852044</v>
      </c>
      <c r="BH10" s="25">
        <f ca="1">BG10</f>
        <v>102373.39544852044</v>
      </c>
    </row>
    <row r="11" spans="2:60" s="11" customFormat="1" ht="15" customHeight="1" thickBot="1" x14ac:dyDescent="0.4">
      <c r="B11" s="2"/>
      <c r="C11" s="35">
        <f>SUM(C6:C10)</f>
        <v>1211000</v>
      </c>
      <c r="D11" s="35">
        <f ca="1">SUM(D6:D10)</f>
        <v>1229842.4238697852</v>
      </c>
      <c r="E11" s="35">
        <f t="shared" ref="E11:BC11" ca="1" si="2">SUM(E6:E10)</f>
        <v>1224853.2810126422</v>
      </c>
      <c r="F11" s="35">
        <f t="shared" ca="1" si="2"/>
        <v>1238542.4238697852</v>
      </c>
      <c r="G11" s="35">
        <f t="shared" ca="1" si="2"/>
        <v>1270612.1381554992</v>
      </c>
      <c r="H11" s="35">
        <f t="shared" ca="1" si="2"/>
        <v>1277164.5667269279</v>
      </c>
      <c r="I11" s="35">
        <f t="shared" ca="1" si="2"/>
        <v>1270171.2763109987</v>
      </c>
      <c r="J11" s="35">
        <f t="shared" ca="1" si="2"/>
        <v>1267882.7048824274</v>
      </c>
      <c r="K11" s="35">
        <f t="shared" ca="1" si="2"/>
        <v>1272994.1334538558</v>
      </c>
      <c r="L11" s="35">
        <f t="shared" ca="1" si="2"/>
        <v>1269257.9191681414</v>
      </c>
      <c r="M11" s="35">
        <f t="shared" ca="1" si="2"/>
        <v>1266695.7001807839</v>
      </c>
      <c r="N11" s="35">
        <f t="shared" ca="1" si="2"/>
        <v>1285583.9144664982</v>
      </c>
      <c r="O11" s="35">
        <f t="shared" ca="1" si="2"/>
        <v>1296221.7716093552</v>
      </c>
      <c r="P11" s="35">
        <f t="shared" ca="1" si="2"/>
        <v>1397455.4858950695</v>
      </c>
      <c r="Q11" s="35">
        <f t="shared" ca="1" si="2"/>
        <v>1401926.5197270426</v>
      </c>
      <c r="R11" s="35">
        <f t="shared" ca="1" si="2"/>
        <v>1399909.3768699002</v>
      </c>
      <c r="S11" s="35">
        <f t="shared" ca="1" si="2"/>
        <v>1405850.8054413286</v>
      </c>
      <c r="T11" s="35">
        <f t="shared" ca="1" si="2"/>
        <v>1431368.6625841858</v>
      </c>
      <c r="U11" s="35">
        <f t="shared" ca="1" si="2"/>
        <v>1447117.9482984715</v>
      </c>
      <c r="V11" s="35">
        <f t="shared" ca="1" si="2"/>
        <v>1438015.6249875876</v>
      </c>
      <c r="W11" s="35">
        <f t="shared" ca="1" si="2"/>
        <v>1440590.2678447305</v>
      </c>
      <c r="X11" s="35">
        <f t="shared" ca="1" si="2"/>
        <v>1445982.1249875878</v>
      </c>
      <c r="Y11" s="35">
        <f t="shared" ca="1" si="2"/>
        <v>1456575.0535590162</v>
      </c>
      <c r="Z11" s="35">
        <f t="shared" ca="1" si="2"/>
        <v>1452167.3731052754</v>
      </c>
      <c r="AA11" s="35">
        <f t="shared" ca="1" si="2"/>
        <v>1472048.0873909895</v>
      </c>
      <c r="AB11" s="35">
        <f t="shared" ca="1" si="2"/>
        <v>1490880.2302481325</v>
      </c>
      <c r="AC11" s="35">
        <f t="shared" ca="1" si="2"/>
        <v>1426228.834065696</v>
      </c>
      <c r="AD11" s="35">
        <f t="shared" ca="1" si="2"/>
        <v>1453242.4054942671</v>
      </c>
      <c r="AE11" s="35">
        <f t="shared" ca="1" si="2"/>
        <v>1440572.5821833834</v>
      </c>
      <c r="AF11" s="35">
        <f t="shared" ca="1" si="2"/>
        <v>1459748.653611955</v>
      </c>
      <c r="AG11" s="35">
        <f t="shared" ca="1" si="2"/>
        <v>1482384.3678976691</v>
      </c>
      <c r="AH11" s="35">
        <f t="shared" ca="1" si="2"/>
        <v>1495084.3678976693</v>
      </c>
      <c r="AI11" s="35">
        <f t="shared" ca="1" si="2"/>
        <v>1500381.116015357</v>
      </c>
      <c r="AJ11" s="35">
        <f t="shared" ca="1" si="2"/>
        <v>1524200.5445867856</v>
      </c>
      <c r="AK11" s="35">
        <f t="shared" ca="1" si="2"/>
        <v>1539988.4017296424</v>
      </c>
      <c r="AL11" s="35">
        <f t="shared" ca="1" si="2"/>
        <v>1548590.6874439283</v>
      </c>
      <c r="AM11" s="35">
        <f t="shared" ca="1" si="2"/>
        <v>1534317.435561616</v>
      </c>
      <c r="AN11" s="35">
        <f t="shared" ca="1" si="2"/>
        <v>1552430.2927044732</v>
      </c>
      <c r="AO11" s="35">
        <f t="shared" ca="1" si="2"/>
        <v>1567168.1498473303</v>
      </c>
      <c r="AP11" s="35">
        <f t="shared" ca="1" si="2"/>
        <v>1580939.5784187589</v>
      </c>
      <c r="AQ11" s="35">
        <f t="shared" ca="1" si="2"/>
        <v>1603039.5784187589</v>
      </c>
      <c r="AR11" s="35">
        <f t="shared" ca="1" si="2"/>
        <v>1566416.8979650179</v>
      </c>
      <c r="AS11" s="35">
        <f t="shared" ca="1" si="2"/>
        <v>1582166.1836793034</v>
      </c>
      <c r="AT11" s="35">
        <f t="shared" ca="1" si="2"/>
        <v>1579580.4693935891</v>
      </c>
      <c r="AU11" s="35">
        <f t="shared" ca="1" si="2"/>
        <v>1538429.0408221604</v>
      </c>
      <c r="AV11" s="35">
        <f t="shared" ca="1" si="2"/>
        <v>1514166.931796991</v>
      </c>
      <c r="AW11" s="35">
        <f t="shared" ca="1" si="2"/>
        <v>1533165.7889398483</v>
      </c>
      <c r="AX11" s="35">
        <f t="shared" ca="1" si="2"/>
        <v>1577200.2175112769</v>
      </c>
      <c r="AY11" s="35">
        <f t="shared" ca="1" si="2"/>
        <v>1605829.9317969913</v>
      </c>
      <c r="AZ11" s="35">
        <f t="shared" ca="1" si="2"/>
        <v>1612332.6799146789</v>
      </c>
      <c r="BA11" s="35">
        <f t="shared" ca="1" si="2"/>
        <v>1633292.394200393</v>
      </c>
      <c r="BB11" s="35">
        <f t="shared" ca="1" si="2"/>
        <v>1654073.1084861073</v>
      </c>
      <c r="BC11" s="35">
        <f t="shared" ca="1" si="2"/>
        <v>1576907.3954485205</v>
      </c>
      <c r="BD11" s="35">
        <f ca="1">SUM(BD6:BD10)</f>
        <v>1397455.4858950695</v>
      </c>
      <c r="BE11" s="35">
        <f ca="1">SUM(BE6:BE10)</f>
        <v>1426228.834065696</v>
      </c>
      <c r="BF11" s="35">
        <f ca="1">SUM(BF6:BF10)</f>
        <v>1580939.5784187589</v>
      </c>
      <c r="BG11" s="35">
        <f ca="1">SUM(BG6:BG10)</f>
        <v>1576907.3954485205</v>
      </c>
      <c r="BH11" s="35">
        <f ca="1">SUM(BH6:BH10)</f>
        <v>1576907.3954485205</v>
      </c>
    </row>
    <row r="12" spans="2:60" ht="15" customHeight="1" thickTop="1" x14ac:dyDescent="0.35">
      <c r="B12" s="2" t="s">
        <v>38</v>
      </c>
      <c r="C12" s="25"/>
      <c r="D12" s="25"/>
      <c r="E12" s="25"/>
      <c r="F12" s="25"/>
      <c r="G12" s="25"/>
      <c r="H12" s="25"/>
      <c r="I12" s="25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</row>
    <row r="13" spans="2:60" ht="15" customHeight="1" x14ac:dyDescent="0.3">
      <c r="B13" s="7" t="s">
        <v>0</v>
      </c>
      <c r="C13" s="25">
        <f>-Assumptions!$B$26</f>
        <v>1000</v>
      </c>
      <c r="D13" s="25">
        <f ca="1">OFFSET(D$4,ROW($B13)-ROW($B$4),-1,1,1)+OFFSET(Forecast!$B$73,0,COLUMN(D$4)-COLUMN($C$4),1,1)</f>
        <v>1000</v>
      </c>
      <c r="E13" s="25">
        <f ca="1">OFFSET(E$4,ROW($B13)-ROW($B$4),-1,1,1)+OFFSET(Forecast!$B$73,0,COLUMN(E$4)-COLUMN($C$4),1,1)</f>
        <v>1000</v>
      </c>
      <c r="F13" s="25">
        <f ca="1">OFFSET(F$4,ROW($B13)-ROW($B$4),-1,1,1)+OFFSET(Forecast!$B$73,0,COLUMN(F$4)-COLUMN($C$4),1,1)</f>
        <v>1000</v>
      </c>
      <c r="G13" s="25">
        <f ca="1">OFFSET(G$4,ROW($B13)-ROW($B$4),-1,1,1)+OFFSET(Forecast!$B$73,0,COLUMN(G$4)-COLUMN($C$4),1,1)</f>
        <v>1000</v>
      </c>
      <c r="H13" s="25">
        <f ca="1">OFFSET(H$4,ROW($B13)-ROW($B$4),-1,1,1)+OFFSET(Forecast!$B$73,0,COLUMN(H$4)-COLUMN($C$4),1,1)</f>
        <v>1000</v>
      </c>
      <c r="I13" s="25">
        <f ca="1">OFFSET(I$4,ROW($B13)-ROW($B$4),-1,1,1)+OFFSET(Forecast!$B$73,0,COLUMN(I$4)-COLUMN($C$4),1,1)</f>
        <v>1000</v>
      </c>
      <c r="J13" s="25">
        <f ca="1">OFFSET(J$4,ROW($B13)-ROW($B$4),-1,1,1)+OFFSET(Forecast!$B$73,0,COLUMN(J$4)-COLUMN($C$4),1,1)</f>
        <v>1000</v>
      </c>
      <c r="K13" s="25">
        <f ca="1">OFFSET(K$4,ROW($B13)-ROW($B$4),-1,1,1)+OFFSET(Forecast!$B$73,0,COLUMN(K$4)-COLUMN($C$4),1,1)</f>
        <v>1000</v>
      </c>
      <c r="L13" s="25">
        <f ca="1">OFFSET(L$4,ROW($B13)-ROW($B$4),-1,1,1)+OFFSET(Forecast!$B$73,0,COLUMN(L$4)-COLUMN($C$4),1,1)</f>
        <v>1000</v>
      </c>
      <c r="M13" s="25">
        <f ca="1">OFFSET(M$4,ROW($B13)-ROW($B$4),-1,1,1)+OFFSET(Forecast!$B$73,0,COLUMN(M$4)-COLUMN($C$4),1,1)</f>
        <v>1000</v>
      </c>
      <c r="N13" s="25">
        <f ca="1">OFFSET(N$4,ROW($B13)-ROW($B$4),-1,1,1)+OFFSET(Forecast!$B$73,0,COLUMN(N$4)-COLUMN($C$4),1,1)</f>
        <v>1000</v>
      </c>
      <c r="O13" s="25">
        <f ca="1">OFFSET(O$4,ROW($B13)-ROW($B$4),-1,1,1)+OFFSET(Forecast!$B$73,0,COLUMN(O$4)-COLUMN($C$4),1,1)</f>
        <v>1000</v>
      </c>
      <c r="P13" s="25">
        <f ca="1">OFFSET(P$4,ROW($B13)-ROW($B$4),-1,1,1)+OFFSET(Forecast!$B$73,0,COLUMN(P$4)-COLUMN($C$4),1,1)</f>
        <v>1000</v>
      </c>
      <c r="Q13" s="25">
        <f ca="1">OFFSET(Q$4,ROW($B13)-ROW($B$4),-1,1,1)+OFFSET(Forecast!$B$73,0,COLUMN(Q$4)-COLUMN($C$4),1,1)</f>
        <v>1500</v>
      </c>
      <c r="R13" s="25">
        <f ca="1">OFFSET(R$4,ROW($B13)-ROW($B$4),-1,1,1)+OFFSET(Forecast!$B$73,0,COLUMN(R$4)-COLUMN($C$4),1,1)</f>
        <v>1500</v>
      </c>
      <c r="S13" s="25">
        <f ca="1">OFFSET(S$4,ROW($B13)-ROW($B$4),-1,1,1)+OFFSET(Forecast!$B$73,0,COLUMN(S$4)-COLUMN($C$4),1,1)</f>
        <v>1500</v>
      </c>
      <c r="T13" s="25">
        <f ca="1">OFFSET(T$4,ROW($B13)-ROW($B$4),-1,1,1)+OFFSET(Forecast!$B$73,0,COLUMN(T$4)-COLUMN($C$4),1,1)</f>
        <v>1500</v>
      </c>
      <c r="U13" s="25">
        <f ca="1">OFFSET(U$4,ROW($B13)-ROW($B$4),-1,1,1)+OFFSET(Forecast!$B$73,0,COLUMN(U$4)-COLUMN($C$4),1,1)</f>
        <v>1500</v>
      </c>
      <c r="V13" s="25">
        <f ca="1">OFFSET(V$4,ROW($B13)-ROW($B$4),-1,1,1)+OFFSET(Forecast!$B$73,0,COLUMN(V$4)-COLUMN($C$4),1,1)</f>
        <v>1500</v>
      </c>
      <c r="W13" s="25">
        <f ca="1">OFFSET(W$4,ROW($B13)-ROW($B$4),-1,1,1)+OFFSET(Forecast!$B$73,0,COLUMN(W$4)-COLUMN($C$4),1,1)</f>
        <v>1500</v>
      </c>
      <c r="X13" s="25">
        <f ca="1">OFFSET(X$4,ROW($B13)-ROW($B$4),-1,1,1)+OFFSET(Forecast!$B$73,0,COLUMN(X$4)-COLUMN($C$4),1,1)</f>
        <v>1500</v>
      </c>
      <c r="Y13" s="25">
        <f ca="1">OFFSET(Y$4,ROW($B13)-ROW($B$4),-1,1,1)+OFFSET(Forecast!$B$73,0,COLUMN(Y$4)-COLUMN($C$4),1,1)</f>
        <v>1500</v>
      </c>
      <c r="Z13" s="25">
        <f ca="1">OFFSET(Z$4,ROW($B13)-ROW($B$4),-1,1,1)+OFFSET(Forecast!$B$73,0,COLUMN(Z$4)-COLUMN($C$4),1,1)</f>
        <v>1500</v>
      </c>
      <c r="AA13" s="25">
        <f ca="1">OFFSET(AA$4,ROW($B13)-ROW($B$4),-1,1,1)+OFFSET(Forecast!$B$73,0,COLUMN(AA$4)-COLUMN($C$4),1,1)</f>
        <v>1500</v>
      </c>
      <c r="AB13" s="25">
        <f ca="1">OFFSET(AB$4,ROW($B13)-ROW($B$4),-1,1,1)+OFFSET(Forecast!$B$73,0,COLUMN(AB$4)-COLUMN($C$4),1,1)</f>
        <v>1500</v>
      </c>
      <c r="AC13" s="25">
        <f ca="1">OFFSET(AC$4,ROW($B13)-ROW($B$4),-1,1,1)+OFFSET(Forecast!$B$73,0,COLUMN(AC$4)-COLUMN($C$4),1,1)</f>
        <v>1500</v>
      </c>
      <c r="AD13" s="25">
        <f ca="1">OFFSET(AD$4,ROW($B13)-ROW($B$4),-1,1,1)+OFFSET(Forecast!$B$73,0,COLUMN(AD$4)-COLUMN($C$4),1,1)</f>
        <v>1500</v>
      </c>
      <c r="AE13" s="25">
        <f ca="1">OFFSET(AE$4,ROW($B13)-ROW($B$4),-1,1,1)+OFFSET(Forecast!$B$73,0,COLUMN(AE$4)-COLUMN($C$4),1,1)</f>
        <v>1500</v>
      </c>
      <c r="AF13" s="25">
        <f ca="1">OFFSET(AF$4,ROW($B13)-ROW($B$4),-1,1,1)+OFFSET(Forecast!$B$73,0,COLUMN(AF$4)-COLUMN($C$4),1,1)</f>
        <v>1500</v>
      </c>
      <c r="AG13" s="25">
        <f ca="1">OFFSET(AG$4,ROW($B13)-ROW($B$4),-1,1,1)+OFFSET(Forecast!$B$73,0,COLUMN(AG$4)-COLUMN($C$4),1,1)</f>
        <v>1500</v>
      </c>
      <c r="AH13" s="25">
        <f ca="1">OFFSET(AH$4,ROW($B13)-ROW($B$4),-1,1,1)+OFFSET(Forecast!$B$73,0,COLUMN(AH$4)-COLUMN($C$4),1,1)</f>
        <v>1500</v>
      </c>
      <c r="AI13" s="25">
        <f ca="1">OFFSET(AI$4,ROW($B13)-ROW($B$4),-1,1,1)+OFFSET(Forecast!$B$73,0,COLUMN(AI$4)-COLUMN($C$4),1,1)</f>
        <v>1500</v>
      </c>
      <c r="AJ13" s="25">
        <f ca="1">OFFSET(AJ$4,ROW($B13)-ROW($B$4),-1,1,1)+OFFSET(Forecast!$B$73,0,COLUMN(AJ$4)-COLUMN($C$4),1,1)</f>
        <v>1500</v>
      </c>
      <c r="AK13" s="25">
        <f ca="1">OFFSET(AK$4,ROW($B13)-ROW($B$4),-1,1,1)+OFFSET(Forecast!$B$73,0,COLUMN(AK$4)-COLUMN($C$4),1,1)</f>
        <v>1500</v>
      </c>
      <c r="AL13" s="25">
        <f ca="1">OFFSET(AL$4,ROW($B13)-ROW($B$4),-1,1,1)+OFFSET(Forecast!$B$73,0,COLUMN(AL$4)-COLUMN($C$4),1,1)</f>
        <v>1500</v>
      </c>
      <c r="AM13" s="25">
        <f ca="1">OFFSET(AM$4,ROW($B13)-ROW($B$4),-1,1,1)+OFFSET(Forecast!$B$73,0,COLUMN(AM$4)-COLUMN($C$4),1,1)</f>
        <v>1500</v>
      </c>
      <c r="AN13" s="25">
        <f ca="1">OFFSET(AN$4,ROW($B13)-ROW($B$4),-1,1,1)+OFFSET(Forecast!$B$73,0,COLUMN(AN$4)-COLUMN($C$4),1,1)</f>
        <v>1500</v>
      </c>
      <c r="AO13" s="25">
        <f ca="1">OFFSET(AO$4,ROW($B13)-ROW($B$4),-1,1,1)+OFFSET(Forecast!$B$73,0,COLUMN(AO$4)-COLUMN($C$4),1,1)</f>
        <v>1500</v>
      </c>
      <c r="AP13" s="25">
        <f ca="1">OFFSET(AP$4,ROW($B13)-ROW($B$4),-1,1,1)+OFFSET(Forecast!$B$73,0,COLUMN(AP$4)-COLUMN($C$4),1,1)</f>
        <v>1500</v>
      </c>
      <c r="AQ13" s="25">
        <f ca="1">OFFSET(AQ$4,ROW($B13)-ROW($B$4),-1,1,1)+OFFSET(Forecast!$B$73,0,COLUMN(AQ$4)-COLUMN($C$4),1,1)</f>
        <v>1500</v>
      </c>
      <c r="AR13" s="25">
        <f ca="1">OFFSET(AR$4,ROW($B13)-ROW($B$4),-1,1,1)+OFFSET(Forecast!$B$73,0,COLUMN(AR$4)-COLUMN($C$4),1,1)</f>
        <v>1500</v>
      </c>
      <c r="AS13" s="25">
        <f ca="1">OFFSET(AS$4,ROW($B13)-ROW($B$4),-1,1,1)+OFFSET(Forecast!$B$73,0,COLUMN(AS$4)-COLUMN($C$4),1,1)</f>
        <v>1500</v>
      </c>
      <c r="AT13" s="25">
        <f ca="1">OFFSET(AT$4,ROW($B13)-ROW($B$4),-1,1,1)+OFFSET(Forecast!$B$73,0,COLUMN(AT$4)-COLUMN($C$4),1,1)</f>
        <v>1500</v>
      </c>
      <c r="AU13" s="25">
        <f ca="1">OFFSET(AU$4,ROW($B13)-ROW($B$4),-1,1,1)+OFFSET(Forecast!$B$73,0,COLUMN(AU$4)-COLUMN($C$4),1,1)</f>
        <v>1500</v>
      </c>
      <c r="AV13" s="25">
        <f ca="1">OFFSET(AV$4,ROW($B13)-ROW($B$4),-1,1,1)+OFFSET(Forecast!$B$73,0,COLUMN(AV$4)-COLUMN($C$4),1,1)</f>
        <v>1500</v>
      </c>
      <c r="AW13" s="25">
        <f ca="1">OFFSET(AW$4,ROW($B13)-ROW($B$4),-1,1,1)+OFFSET(Forecast!$B$73,0,COLUMN(AW$4)-COLUMN($C$4),1,1)</f>
        <v>1500</v>
      </c>
      <c r="AX13" s="25">
        <f ca="1">OFFSET(AX$4,ROW($B13)-ROW($B$4),-1,1,1)+OFFSET(Forecast!$B$73,0,COLUMN(AX$4)-COLUMN($C$4),1,1)</f>
        <v>1500</v>
      </c>
      <c r="AY13" s="25">
        <f ca="1">OFFSET(AY$4,ROW($B13)-ROW($B$4),-1,1,1)+OFFSET(Forecast!$B$73,0,COLUMN(AY$4)-COLUMN($C$4),1,1)</f>
        <v>1500</v>
      </c>
      <c r="AZ13" s="25">
        <f ca="1">OFFSET(AZ$4,ROW($B13)-ROW($B$4),-1,1,1)+OFFSET(Forecast!$B$73,0,COLUMN(AZ$4)-COLUMN($C$4),1,1)</f>
        <v>1500</v>
      </c>
      <c r="BA13" s="25">
        <f ca="1">OFFSET(BA$4,ROW($B13)-ROW($B$4),-1,1,1)+OFFSET(Forecast!$B$73,0,COLUMN(BA$4)-COLUMN($C$4),1,1)</f>
        <v>1500</v>
      </c>
      <c r="BB13" s="25">
        <f ca="1">OFFSET(BB$4,ROW($B13)-ROW($B$4),-1,1,1)+OFFSET(Forecast!$B$73,0,COLUMN(BB$4)-COLUMN($C$4),1,1)</f>
        <v>1500</v>
      </c>
      <c r="BC13" s="25">
        <f ca="1">OFFSET(BC$4,ROW($B13)-ROW($B$4),-1,1,1)+OFFSET(Forecast!$B$73,0,COLUMN(BC$4)-COLUMN($C$4),1,1)</f>
        <v>1500</v>
      </c>
      <c r="BD13" s="25">
        <f ca="1">OFFSET($B13,0,Assumptions!$B$7+1,1,1)</f>
        <v>1000</v>
      </c>
      <c r="BE13" s="25">
        <f ca="1">OFFSET($B13,0,SUM(Assumptions!$B$7:$B$8)+1,1,1)</f>
        <v>1500</v>
      </c>
      <c r="BF13" s="25">
        <f ca="1">OFFSET($B13,0,SUM(Assumptions!$B$7:$B$9)+1,1,1)</f>
        <v>1500</v>
      </c>
      <c r="BG13" s="25">
        <f ca="1">OFFSET($B13,0,SUM(Assumptions!$B$7:$B$10)+1,1,1)</f>
        <v>1500</v>
      </c>
      <c r="BH13" s="25">
        <f ca="1">BG13</f>
        <v>1500</v>
      </c>
    </row>
    <row r="14" spans="2:60" ht="15" customHeight="1" x14ac:dyDescent="0.3">
      <c r="B14" s="7" t="s">
        <v>39</v>
      </c>
      <c r="C14" s="25">
        <f>-Assumptions!$B$27</f>
        <v>0</v>
      </c>
      <c r="D14" s="25">
        <f ca="1">OFFSET(D$4,ROW($B14)-ROW($B$4),-1,1,1)+OFFSET(Forecast!$B$45,0,COLUMN(D$4)-COLUMN($C$4),1,1)</f>
        <v>-2425</v>
      </c>
      <c r="E14" s="25">
        <f ca="1">OFFSET(E$4,ROW($B14)-ROW($B$4),-1,1,1)+OFFSET(Forecast!$B$45,0,COLUMN(E$4)-COLUMN($C$4),1,1)</f>
        <v>10744.56</v>
      </c>
      <c r="F14" s="25">
        <f ca="1">OFFSET(F$4,ROW($B14)-ROW($B$4),-1,1,1)+OFFSET(Forecast!$B$45,0,COLUMN(F$4)-COLUMN($C$4),1,1)</f>
        <v>23272.559999999998</v>
      </c>
      <c r="G14" s="25">
        <f ca="1">OFFSET(G$4,ROW($B14)-ROW($B$4),-1,1,1)+OFFSET(Forecast!$B$45,0,COLUMN(G$4)-COLUMN($C$4),1,1)</f>
        <v>39760.55999999999</v>
      </c>
      <c r="H14" s="25">
        <f ca="1">OFFSET(H$4,ROW($B14)-ROW($B$4),-1,1,1)+OFFSET(Forecast!$B$45,0,COLUMN(H$4)-COLUMN($C$4),1,1)</f>
        <v>35780.399999999994</v>
      </c>
      <c r="I14" s="25">
        <f ca="1">OFFSET(I$4,ROW($B14)-ROW($B$4),-1,1,1)+OFFSET(Forecast!$B$45,0,COLUMN(I$4)-COLUMN($C$4),1,1)</f>
        <v>30675.715229620349</v>
      </c>
      <c r="J14" s="25">
        <f ca="1">OFFSET(J$4,ROW($B14)-ROW($B$4),-1,1,1)+OFFSET(Forecast!$B$45,0,COLUMN(J$4)-COLUMN($C$4),1,1)</f>
        <v>33737.515229620345</v>
      </c>
      <c r="K14" s="25">
        <f ca="1">OFFSET(K$4,ROW($B14)-ROW($B$4),-1,1,1)+OFFSET(Forecast!$B$45,0,COLUMN(K$4)-COLUMN($C$4),1,1)</f>
        <v>48625.315229620348</v>
      </c>
      <c r="L14" s="25">
        <f ca="1">OFFSET(L$4,ROW($B14)-ROW($B$4),-1,1,1)+OFFSET(Forecast!$B$45,0,COLUMN(L$4)-COLUMN($C$4),1,1)</f>
        <v>46560.355229620342</v>
      </c>
      <c r="M14" s="25">
        <f ca="1">OFFSET(M$4,ROW($B14)-ROW($B$4),-1,1,1)+OFFSET(Forecast!$B$45,0,COLUMN(M$4)-COLUMN($C$4),1,1)</f>
        <v>45207.758447120228</v>
      </c>
      <c r="N14" s="25">
        <f ca="1">OFFSET(N$4,ROW($B14)-ROW($B$4),-1,1,1)+OFFSET(Forecast!$B$45,0,COLUMN(N$4)-COLUMN($C$4),1,1)</f>
        <v>61844.078447120228</v>
      </c>
      <c r="O14" s="25">
        <f ca="1">OFFSET(O$4,ROW($B14)-ROW($B$4),-1,1,1)+OFFSET(Forecast!$B$45,0,COLUMN(O$4)-COLUMN($C$4),1,1)</f>
        <v>79512.878447120223</v>
      </c>
      <c r="P14" s="25">
        <f ca="1">OFFSET(P$4,ROW($B14)-ROW($B$4),-1,1,1)+OFFSET(Forecast!$B$45,0,COLUMN(P$4)-COLUMN($C$4),1,1)</f>
        <v>62513.678447120226</v>
      </c>
      <c r="Q14" s="25">
        <f ca="1">OFFSET(Q$4,ROW($B14)-ROW($B$4),-1,1,1)+OFFSET(Forecast!$B$45,0,COLUMN(Q$4)-COLUMN($C$4),1,1)</f>
        <v>65714.949172393593</v>
      </c>
      <c r="R14" s="25">
        <f ca="1">OFFSET(R$4,ROW($B14)-ROW($B$4),-1,1,1)+OFFSET(Forecast!$B$45,0,COLUMN(R$4)-COLUMN($C$4),1,1)</f>
        <v>81050.949172393593</v>
      </c>
      <c r="S14" s="25">
        <f ca="1">OFFSET(S$4,ROW($B14)-ROW($B$4),-1,1,1)+OFFSET(Forecast!$B$45,0,COLUMN(S$4)-COLUMN($C$4),1,1)</f>
        <v>97724.349172393588</v>
      </c>
      <c r="T14" s="25">
        <f ca="1">OFFSET(T$4,ROW($B14)-ROW($B$4),-1,1,1)+OFFSET(Forecast!$B$45,0,COLUMN(T$4)-COLUMN($C$4),1,1)</f>
        <v>107885.34917239359</v>
      </c>
      <c r="U14" s="25">
        <f ca="1">OFFSET(U$4,ROW($B14)-ROW($B$4),-1,1,1)+OFFSET(Forecast!$B$45,0,COLUMN(U$4)-COLUMN($C$4),1,1)</f>
        <v>106524.5491723936</v>
      </c>
      <c r="V14" s="25">
        <f ca="1">OFFSET(V$4,ROW($B14)-ROW($B$4),-1,1,1)+OFFSET(Forecast!$B$45,0,COLUMN(V$4)-COLUMN($C$4),1,1)</f>
        <v>109216.46240337167</v>
      </c>
      <c r="W14" s="25">
        <f ca="1">OFFSET(W$4,ROW($B14)-ROW($B$4),-1,1,1)+OFFSET(Forecast!$B$45,0,COLUMN(W$4)-COLUMN($C$4),1,1)</f>
        <v>121776.86240337166</v>
      </c>
      <c r="X14" s="25">
        <f ca="1">OFFSET(X$4,ROW($B14)-ROW($B$4),-1,1,1)+OFFSET(Forecast!$B$45,0,COLUMN(X$4)-COLUMN($C$4),1,1)</f>
        <v>132666.86240337166</v>
      </c>
      <c r="Y14" s="25">
        <f ca="1">OFFSET(Y$4,ROW($B14)-ROW($B$4),-1,1,1)+OFFSET(Forecast!$B$45,0,COLUMN(Y$4)-COLUMN($C$4),1,1)</f>
        <v>133181.66240337165</v>
      </c>
      <c r="Z14" s="25">
        <f ca="1">OFFSET(Z$4,ROW($B14)-ROW($B$4),-1,1,1)+OFFSET(Forecast!$B$45,0,COLUMN(Z$4)-COLUMN($C$4),1,1)</f>
        <v>136390.36161197934</v>
      </c>
      <c r="AA14" s="25">
        <f ca="1">OFFSET(AA$4,ROW($B14)-ROW($B$4),-1,1,1)+OFFSET(Forecast!$B$45,0,COLUMN(AA$4)-COLUMN($C$4),1,1)</f>
        <v>147409.96161197935</v>
      </c>
      <c r="AB14" s="25">
        <f ca="1">OFFSET(AB$4,ROW($B14)-ROW($B$4),-1,1,1)+OFFSET(Forecast!$B$45,0,COLUMN(AB$4)-COLUMN($C$4),1,1)</f>
        <v>167364.76161197934</v>
      </c>
      <c r="AC14" s="25">
        <f ca="1">OFFSET(AC$4,ROW($B14)-ROW($B$4),-1,1,1)+OFFSET(Forecast!$B$45,0,COLUMN(AC$4)-COLUMN($C$4),1,1)</f>
        <v>160512.16161197933</v>
      </c>
      <c r="AD14" s="25">
        <f ca="1">OFFSET(AD$4,ROW($B14)-ROW($B$4),-1,1,1)+OFFSET(Forecast!$B$45,0,COLUMN(AD$4)-COLUMN($C$4),1,1)</f>
        <v>173472.16161197933</v>
      </c>
      <c r="AE14" s="25">
        <f ca="1">OFFSET(AE$4,ROW($B14)-ROW($B$4),-1,1,1)+OFFSET(Forecast!$B$45,0,COLUMN(AE$4)-COLUMN($C$4),1,1)</f>
        <v>187142.07782552092</v>
      </c>
      <c r="AF14" s="25">
        <f ca="1">OFFSET(AF$4,ROW($B14)-ROW($B$4),-1,1,1)+OFFSET(Forecast!$B$45,0,COLUMN(AF$4)-COLUMN($C$4),1,1)</f>
        <v>208778.07782552092</v>
      </c>
      <c r="AG14" s="25">
        <f ca="1">OFFSET(AG$4,ROW($B14)-ROW($B$4),-1,1,1)+OFFSET(Forecast!$B$45,0,COLUMN(AG$4)-COLUMN($C$4),1,1)</f>
        <v>228827.19782552091</v>
      </c>
      <c r="AH14" s="25">
        <f ca="1">OFFSET(AH$4,ROW($B14)-ROW($B$4),-1,1,1)+OFFSET(Forecast!$B$45,0,COLUMN(AH$4)-COLUMN($C$4),1,1)</f>
        <v>230457.99782552093</v>
      </c>
      <c r="AI14" s="25">
        <f ca="1">OFFSET(AI$4,ROW($B14)-ROW($B$4),-1,1,1)+OFFSET(Forecast!$B$45,0,COLUMN(AI$4)-COLUMN($C$4),1,1)</f>
        <v>229469.20969278956</v>
      </c>
      <c r="AJ14" s="25">
        <f ca="1">OFFSET(AJ$4,ROW($B14)-ROW($B$4),-1,1,1)+OFFSET(Forecast!$B$45,0,COLUMN(AJ$4)-COLUMN($C$4),1,1)</f>
        <v>251203.12969278957</v>
      </c>
      <c r="AK14" s="25">
        <f ca="1">OFFSET(AK$4,ROW($B14)-ROW($B$4),-1,1,1)+OFFSET(Forecast!$B$45,0,COLUMN(AK$4)-COLUMN($C$4),1,1)</f>
        <v>258907.12969278957</v>
      </c>
      <c r="AL14" s="25">
        <f ca="1">OFFSET(AL$4,ROW($B14)-ROW($B$4),-1,1,1)+OFFSET(Forecast!$B$45,0,COLUMN(AL$4)-COLUMN($C$4),1,1)</f>
        <v>258521.92969278956</v>
      </c>
      <c r="AM14" s="25">
        <f ca="1">OFFSET(AM$4,ROW($B14)-ROW($B$4),-1,1,1)+OFFSET(Forecast!$B$45,0,COLUMN(AM$4)-COLUMN($C$4),1,1)</f>
        <v>263179.32355075533</v>
      </c>
      <c r="AN14" s="25">
        <f ca="1">OFFSET(AN$4,ROW($B14)-ROW($B$4),-1,1,1)+OFFSET(Forecast!$B$45,0,COLUMN(AN$4)-COLUMN($C$4),1,1)</f>
        <v>285751.32355075533</v>
      </c>
      <c r="AO14" s="25">
        <f ca="1">OFFSET(AO$4,ROW($B14)-ROW($B$4),-1,1,1)+OFFSET(Forecast!$B$45,0,COLUMN(AO$4)-COLUMN($C$4),1,1)</f>
        <v>305335.32355075533</v>
      </c>
      <c r="AP14" s="25">
        <f ca="1">OFFSET(AP$4,ROW($B14)-ROW($B$4),-1,1,1)+OFFSET(Forecast!$B$45,0,COLUMN(AP$4)-COLUMN($C$4),1,1)</f>
        <v>299046.12355075532</v>
      </c>
      <c r="AQ14" s="25">
        <f ca="1">OFFSET(AQ$4,ROW($B14)-ROW($B$4),-1,1,1)+OFFSET(Forecast!$B$45,0,COLUMN(AQ$4)-COLUMN($C$4),1,1)</f>
        <v>319983.7235507553</v>
      </c>
      <c r="AR14" s="25">
        <f ca="1">OFFSET(AR$4,ROW($B14)-ROW($B$4),-1,1,1)+OFFSET(Forecast!$B$45,0,COLUMN(AR$4)-COLUMN($C$4),1,1)</f>
        <v>321446.59349183686</v>
      </c>
      <c r="AS14" s="25">
        <f ca="1">OFFSET(AS$4,ROW($B14)-ROW($B$4),-1,1,1)+OFFSET(Forecast!$B$45,0,COLUMN(AS$4)-COLUMN($C$4),1,1)</f>
        <v>322836.19349183684</v>
      </c>
      <c r="AT14" s="25">
        <f ca="1">OFFSET(AT$4,ROW($B14)-ROW($B$4),-1,1,1)+OFFSET(Forecast!$B$45,0,COLUMN(AT$4)-COLUMN($C$4),1,1)</f>
        <v>330629.4734918368</v>
      </c>
      <c r="AU14" s="25">
        <f ca="1">OFFSET(AU$4,ROW($B14)-ROW($B$4),-1,1,1)+OFFSET(Forecast!$B$45,0,COLUMN(AU$4)-COLUMN($C$4),1,1)</f>
        <v>319882.0334918368</v>
      </c>
      <c r="AV14" s="25">
        <f ca="1">OFFSET(AV$4,ROW($B14)-ROW($B$4),-1,1,1)+OFFSET(Forecast!$B$45,0,COLUMN(AV$4)-COLUMN($C$4),1,1)</f>
        <v>315694.64143176144</v>
      </c>
      <c r="AW14" s="25">
        <f ca="1">OFFSET(AW$4,ROW($B14)-ROW($B$4),-1,1,1)+OFFSET(Forecast!$B$45,0,COLUMN(AW$4)-COLUMN($C$4),1,1)</f>
        <v>329770.64143176144</v>
      </c>
      <c r="AX14" s="25">
        <f ca="1">OFFSET(AX$4,ROW($B14)-ROW($B$4),-1,1,1)+OFFSET(Forecast!$B$45,0,COLUMN(AX$4)-COLUMN($C$4),1,1)</f>
        <v>350109.20143176144</v>
      </c>
      <c r="AY14" s="25">
        <f ca="1">OFFSET(AY$4,ROW($B14)-ROW($B$4),-1,1,1)+OFFSET(Forecast!$B$45,0,COLUMN(AY$4)-COLUMN($C$4),1,1)</f>
        <v>346556.00143176143</v>
      </c>
      <c r="AZ14" s="25">
        <f ca="1">OFFSET(AZ$4,ROW($B14)-ROW($B$4),-1,1,1)+OFFSET(Forecast!$B$45,0,COLUMN(AZ$4)-COLUMN($C$4),1,1)</f>
        <v>354477.33717801893</v>
      </c>
      <c r="BA14" s="25">
        <f ca="1">OFFSET(BA$4,ROW($B14)-ROW($B$4),-1,1,1)+OFFSET(Forecast!$B$45,0,COLUMN(BA$4)-COLUMN($C$4),1,1)</f>
        <v>375234.93717801891</v>
      </c>
      <c r="BB14" s="25">
        <f ca="1">OFFSET(BB$4,ROW($B14)-ROW($B$4),-1,1,1)+OFFSET(Forecast!$B$45,0,COLUMN(BB$4)-COLUMN($C$4),1,1)</f>
        <v>385055.7371780189</v>
      </c>
      <c r="BC14" s="25">
        <f ca="1">OFFSET(BC$4,ROW($B14)-ROW($B$4),-1,1,1)+OFFSET(Forecast!$B$45,0,COLUMN(BC$4)-COLUMN($C$4),1,1)</f>
        <v>374139.09717801888</v>
      </c>
      <c r="BD14" s="25">
        <f ca="1">OFFSET($B14,0,Assumptions!$B$7+1,1,1)</f>
        <v>62513.678447120226</v>
      </c>
      <c r="BE14" s="25">
        <f ca="1">OFFSET($B14,0,SUM(Assumptions!$B$7:$B$8)+1,1,1)</f>
        <v>160512.16161197933</v>
      </c>
      <c r="BF14" s="25">
        <f ca="1">OFFSET($B14,0,SUM(Assumptions!$B$7:$B$9)+1,1,1)</f>
        <v>299046.12355075532</v>
      </c>
      <c r="BG14" s="25">
        <f ca="1">OFFSET($B14,0,SUM(Assumptions!$B$7:$B$10)+1,1,1)</f>
        <v>374139.09717801888</v>
      </c>
      <c r="BH14" s="25">
        <f ca="1">BG14</f>
        <v>374139.09717801888</v>
      </c>
    </row>
    <row r="15" spans="2:60" s="46" customFormat="1" ht="15" customHeight="1" x14ac:dyDescent="0.3">
      <c r="B15" s="44" t="s">
        <v>43</v>
      </c>
      <c r="C15" s="45">
        <f>-Assumptions!$B$28</f>
        <v>1100000</v>
      </c>
      <c r="D15" s="45">
        <f ca="1">OFFSET(D$4,ROW($B15)-ROW($B$4),-1,1,1)+OFFSET(Forecast!$B$75,0,COLUMN(D$4)-COLUMN($C$4),1,1)+OFFSET(Forecast!$B$74,0,COLUMN(D$4)-COLUMN($C$4),1,1)</f>
        <v>1085981.7095840708</v>
      </c>
      <c r="E15" s="45">
        <f ca="1">OFFSET(E$4,ROW($B15)-ROW($B$4),-1,1,1)+OFFSET(Forecast!$B$75,0,COLUMN(E$4)-COLUMN($C$4),1,1)+OFFSET(Forecast!$B$74,0,COLUMN(E$4)-COLUMN($C$4),1,1)</f>
        <v>1085981.7095840708</v>
      </c>
      <c r="F15" s="45">
        <f ca="1">OFFSET(F$4,ROW($B15)-ROW($B$4),-1,1,1)+OFFSET(Forecast!$B$75,0,COLUMN(F$4)-COLUMN($C$4),1,1)+OFFSET(Forecast!$B$74,0,COLUMN(F$4)-COLUMN($C$4),1,1)</f>
        <v>1085981.7095840708</v>
      </c>
      <c r="G15" s="45">
        <f ca="1">OFFSET(G$4,ROW($B15)-ROW($B$4),-1,1,1)+OFFSET(Forecast!$B$75,0,COLUMN(G$4)-COLUMN($C$4),1,1)+OFFSET(Forecast!$B$74,0,COLUMN(G$4)-COLUMN($C$4),1,1)</f>
        <v>1085981.7095840708</v>
      </c>
      <c r="H15" s="45">
        <f ca="1">OFFSET(H$4,ROW($B15)-ROW($B$4),-1,1,1)+OFFSET(Forecast!$B$75,0,COLUMN(H$4)-COLUMN($C$4),1,1)+OFFSET(Forecast!$B$74,0,COLUMN(H$4)-COLUMN($C$4),1,1)</f>
        <v>1085981.7095840708</v>
      </c>
      <c r="I15" s="45">
        <f ca="1">OFFSET(I$4,ROW($B15)-ROW($B$4),-1,1,1)+OFFSET(Forecast!$B$75,0,COLUMN(I$4)-COLUMN($C$4),1,1)+OFFSET(Forecast!$B$74,0,COLUMN(I$4)-COLUMN($C$4),1,1)</f>
        <v>1071840.7591270022</v>
      </c>
      <c r="J15" s="45">
        <f ca="1">OFFSET(J$4,ROW($B15)-ROW($B$4),-1,1,1)+OFFSET(Forecast!$B$75,0,COLUMN(J$4)-COLUMN($C$4),1,1)+OFFSET(Forecast!$B$74,0,COLUMN(J$4)-COLUMN($C$4),1,1)</f>
        <v>1071840.7591270022</v>
      </c>
      <c r="K15" s="45">
        <f ca="1">OFFSET(K$4,ROW($B15)-ROW($B$4),-1,1,1)+OFFSET(Forecast!$B$75,0,COLUMN(K$4)-COLUMN($C$4),1,1)+OFFSET(Forecast!$B$74,0,COLUMN(K$4)-COLUMN($C$4),1,1)</f>
        <v>1071840.7591270022</v>
      </c>
      <c r="L15" s="45">
        <f ca="1">OFFSET(L$4,ROW($B15)-ROW($B$4),-1,1,1)+OFFSET(Forecast!$B$75,0,COLUMN(L$4)-COLUMN($C$4),1,1)+OFFSET(Forecast!$B$74,0,COLUMN(L$4)-COLUMN($C$4),1,1)</f>
        <v>1071840.7591270022</v>
      </c>
      <c r="M15" s="45">
        <f ca="1">OFFSET(M$4,ROW($B15)-ROW($B$4),-1,1,1)+OFFSET(Forecast!$B$75,0,COLUMN(M$4)-COLUMN($C$4),1,1)+OFFSET(Forecast!$B$74,0,COLUMN(M$4)-COLUMN($C$4),1,1)</f>
        <v>1057576.0753534343</v>
      </c>
      <c r="N15" s="45">
        <f ca="1">OFFSET(N$4,ROW($B15)-ROW($B$4),-1,1,1)+OFFSET(Forecast!$B$75,0,COLUMN(N$4)-COLUMN($C$4),1,1)+OFFSET(Forecast!$B$74,0,COLUMN(N$4)-COLUMN($C$4),1,1)</f>
        <v>1057576.0753534343</v>
      </c>
      <c r="O15" s="45">
        <f ca="1">OFFSET(O$4,ROW($B15)-ROW($B$4),-1,1,1)+OFFSET(Forecast!$B$75,0,COLUMN(O$4)-COLUMN($C$4),1,1)+OFFSET(Forecast!$B$74,0,COLUMN(O$4)-COLUMN($C$4),1,1)</f>
        <v>1057576.0753534343</v>
      </c>
      <c r="P15" s="45">
        <f ca="1">OFFSET(P$4,ROW($B15)-ROW($B$4),-1,1,1)+OFFSET(Forecast!$B$75,0,COLUMN(P$4)-COLUMN($C$4),1,1)+OFFSET(Forecast!$B$74,0,COLUMN(P$4)-COLUMN($C$4),1,1)</f>
        <v>1157576.0753534343</v>
      </c>
      <c r="Q15" s="45">
        <f ca="1">OFFSET(Q$4,ROW($B15)-ROW($B$4),-1,1,1)+OFFSET(Forecast!$B$75,0,COLUMN(Q$4)-COLUMN($C$4),1,1)+OFFSET(Forecast!$B$74,0,COLUMN(Q$4)-COLUMN($C$4),1,1)</f>
        <v>1141912.185559036</v>
      </c>
      <c r="R15" s="45">
        <f ca="1">OFFSET(R$4,ROW($B15)-ROW($B$4),-1,1,1)+OFFSET(Forecast!$B$75,0,COLUMN(R$4)-COLUMN($C$4),1,1)+OFFSET(Forecast!$B$74,0,COLUMN(R$4)-COLUMN($C$4),1,1)</f>
        <v>1141912.185559036</v>
      </c>
      <c r="S15" s="45">
        <f ca="1">OFFSET(S$4,ROW($B15)-ROW($B$4),-1,1,1)+OFFSET(Forecast!$B$75,0,COLUMN(S$4)-COLUMN($C$4),1,1)+OFFSET(Forecast!$B$74,0,COLUMN(S$4)-COLUMN($C$4),1,1)</f>
        <v>1141912.185559036</v>
      </c>
      <c r="T15" s="45">
        <f ca="1">OFFSET(T$4,ROW($B15)-ROW($B$4),-1,1,1)+OFFSET(Forecast!$B$75,0,COLUMN(T$4)-COLUMN($C$4),1,1)+OFFSET(Forecast!$B$74,0,COLUMN(T$4)-COLUMN($C$4),1,1)</f>
        <v>1141912.185559036</v>
      </c>
      <c r="U15" s="45">
        <f ca="1">OFFSET(U$4,ROW($B15)-ROW($B$4),-1,1,1)+OFFSET(Forecast!$B$75,0,COLUMN(U$4)-COLUMN($C$4),1,1)+OFFSET(Forecast!$B$74,0,COLUMN(U$4)-COLUMN($C$4),1,1)</f>
        <v>1141912.185559036</v>
      </c>
      <c r="V15" s="45">
        <f ca="1">OFFSET(V$4,ROW($B15)-ROW($B$4),-1,1,1)+OFFSET(Forecast!$B$75,0,COLUMN(V$4)-COLUMN($C$4),1,1)+OFFSET(Forecast!$B$74,0,COLUMN(V$4)-COLUMN($C$4),1,1)</f>
        <v>1126111.2367289367</v>
      </c>
      <c r="W15" s="45">
        <f ca="1">OFFSET(W$4,ROW($B15)-ROW($B$4),-1,1,1)+OFFSET(Forecast!$B$75,0,COLUMN(W$4)-COLUMN($C$4),1,1)+OFFSET(Forecast!$B$74,0,COLUMN(W$4)-COLUMN($C$4),1,1)</f>
        <v>1126111.2367289367</v>
      </c>
      <c r="X15" s="45">
        <f ca="1">OFFSET(X$4,ROW($B15)-ROW($B$4),-1,1,1)+OFFSET(Forecast!$B$75,0,COLUMN(X$4)-COLUMN($C$4),1,1)+OFFSET(Forecast!$B$74,0,COLUMN(X$4)-COLUMN($C$4),1,1)</f>
        <v>1126111.2367289367</v>
      </c>
      <c r="Y15" s="45">
        <f ca="1">OFFSET(Y$4,ROW($B15)-ROW($B$4),-1,1,1)+OFFSET(Forecast!$B$75,0,COLUMN(Y$4)-COLUMN($C$4),1,1)+OFFSET(Forecast!$B$74,0,COLUMN(Y$4)-COLUMN($C$4),1,1)</f>
        <v>1126111.2367289367</v>
      </c>
      <c r="Z15" s="45">
        <f ca="1">OFFSET(Z$4,ROW($B15)-ROW($B$4),-1,1,1)+OFFSET(Forecast!$B$75,0,COLUMN(Z$4)-COLUMN($C$4),1,1)+OFFSET(Forecast!$B$74,0,COLUMN(Z$4)-COLUMN($C$4),1,1)</f>
        <v>1110172.0295965739</v>
      </c>
      <c r="AA15" s="45">
        <f ca="1">OFFSET(AA$4,ROW($B15)-ROW($B$4),-1,1,1)+OFFSET(Forecast!$B$75,0,COLUMN(AA$4)-COLUMN($C$4),1,1)+OFFSET(Forecast!$B$74,0,COLUMN(AA$4)-COLUMN($C$4),1,1)</f>
        <v>1110172.0295965739</v>
      </c>
      <c r="AB15" s="45">
        <f ca="1">OFFSET(AB$4,ROW($B15)-ROW($B$4),-1,1,1)+OFFSET(Forecast!$B$75,0,COLUMN(AB$4)-COLUMN($C$4),1,1)+OFFSET(Forecast!$B$74,0,COLUMN(AB$4)-COLUMN($C$4),1,1)</f>
        <v>1110172.0295965739</v>
      </c>
      <c r="AC15" s="45">
        <f ca="1">OFFSET(AC$4,ROW($B15)-ROW($B$4),-1,1,1)+OFFSET(Forecast!$B$75,0,COLUMN(AC$4)-COLUMN($C$4),1,1)+OFFSET(Forecast!$B$74,0,COLUMN(AC$4)-COLUMN($C$4),1,1)</f>
        <v>1110172.0295965739</v>
      </c>
      <c r="AD15" s="45">
        <f ca="1">OFFSET(AD$4,ROW($B15)-ROW($B$4),-1,1,1)+OFFSET(Forecast!$B$75,0,COLUMN(AD$4)-COLUMN($C$4),1,1)+OFFSET(Forecast!$B$74,0,COLUMN(AD$4)-COLUMN($C$4),1,1)</f>
        <v>1110172.0295965739</v>
      </c>
      <c r="AE15" s="45">
        <f ca="1">OFFSET(AE$4,ROW($B15)-ROW($B$4),-1,1,1)+OFFSET(Forecast!$B$75,0,COLUMN(AE$4)-COLUMN($C$4),1,1)+OFFSET(Forecast!$B$74,0,COLUMN(AE$4)-COLUMN($C$4),1,1)</f>
        <v>1094093.3544018029</v>
      </c>
      <c r="AF15" s="45">
        <f ca="1">OFFSET(AF$4,ROW($B15)-ROW($B$4),-1,1,1)+OFFSET(Forecast!$B$75,0,COLUMN(AF$4)-COLUMN($C$4),1,1)+OFFSET(Forecast!$B$74,0,COLUMN(AF$4)-COLUMN($C$4),1,1)</f>
        <v>1094093.3544018029</v>
      </c>
      <c r="AG15" s="45">
        <f ca="1">OFFSET(AG$4,ROW($B15)-ROW($B$4),-1,1,1)+OFFSET(Forecast!$B$75,0,COLUMN(AG$4)-COLUMN($C$4),1,1)+OFFSET(Forecast!$B$74,0,COLUMN(AG$4)-COLUMN($C$4),1,1)</f>
        <v>1094093.3544018029</v>
      </c>
      <c r="AH15" s="45">
        <f ca="1">OFFSET(AH$4,ROW($B15)-ROW($B$4),-1,1,1)+OFFSET(Forecast!$B$75,0,COLUMN(AH$4)-COLUMN($C$4),1,1)+OFFSET(Forecast!$B$74,0,COLUMN(AH$4)-COLUMN($C$4),1,1)</f>
        <v>1094093.3544018029</v>
      </c>
      <c r="AI15" s="45">
        <f ca="1">OFFSET(AI$4,ROW($B15)-ROW($B$4),-1,1,1)+OFFSET(Forecast!$B$75,0,COLUMN(AI$4)-COLUMN($C$4),1,1)+OFFSET(Forecast!$B$74,0,COLUMN(AI$4)-COLUMN($C$4),1,1)</f>
        <v>1077873.9907990778</v>
      </c>
      <c r="AJ15" s="45">
        <f ca="1">OFFSET(AJ$4,ROW($B15)-ROW($B$4),-1,1,1)+OFFSET(Forecast!$B$75,0,COLUMN(AJ$4)-COLUMN($C$4),1,1)+OFFSET(Forecast!$B$74,0,COLUMN(AJ$4)-COLUMN($C$4),1,1)</f>
        <v>1077873.9907990778</v>
      </c>
      <c r="AK15" s="45">
        <f ca="1">OFFSET(AK$4,ROW($B15)-ROW($B$4),-1,1,1)+OFFSET(Forecast!$B$75,0,COLUMN(AK$4)-COLUMN($C$4),1,1)+OFFSET(Forecast!$B$74,0,COLUMN(AK$4)-COLUMN($C$4),1,1)</f>
        <v>1077873.9907990778</v>
      </c>
      <c r="AL15" s="45">
        <f ca="1">OFFSET(AL$4,ROW($B15)-ROW($B$4),-1,1,1)+OFFSET(Forecast!$B$75,0,COLUMN(AL$4)-COLUMN($C$4),1,1)+OFFSET(Forecast!$B$74,0,COLUMN(AL$4)-COLUMN($C$4),1,1)</f>
        <v>1077873.9907990778</v>
      </c>
      <c r="AM15" s="45">
        <f ca="1">OFFSET(AM$4,ROW($B15)-ROW($B$4),-1,1,1)+OFFSET(Forecast!$B$75,0,COLUMN(AM$4)-COLUMN($C$4),1,1)+OFFSET(Forecast!$B$74,0,COLUMN(AM$4)-COLUMN($C$4),1,1)</f>
        <v>1061512.7077648288</v>
      </c>
      <c r="AN15" s="45">
        <f ca="1">OFFSET(AN$4,ROW($B15)-ROW($B$4),-1,1,1)+OFFSET(Forecast!$B$75,0,COLUMN(AN$4)-COLUMN($C$4),1,1)+OFFSET(Forecast!$B$74,0,COLUMN(AN$4)-COLUMN($C$4),1,1)</f>
        <v>1061512.7077648288</v>
      </c>
      <c r="AO15" s="45">
        <f ca="1">OFFSET(AO$4,ROW($B15)-ROW($B$4),-1,1,1)+OFFSET(Forecast!$B$75,0,COLUMN(AO$4)-COLUMN($C$4),1,1)+OFFSET(Forecast!$B$74,0,COLUMN(AO$4)-COLUMN($C$4),1,1)</f>
        <v>1061512.7077648288</v>
      </c>
      <c r="AP15" s="45">
        <f ca="1">OFFSET(AP$4,ROW($B15)-ROW($B$4),-1,1,1)+OFFSET(Forecast!$B$75,0,COLUMN(AP$4)-COLUMN($C$4),1,1)+OFFSET(Forecast!$B$74,0,COLUMN(AP$4)-COLUMN($C$4),1,1)</f>
        <v>1061512.7077648288</v>
      </c>
      <c r="AQ15" s="45">
        <f ca="1">OFFSET(AQ$4,ROW($B15)-ROW($B$4),-1,1,1)+OFFSET(Forecast!$B$75,0,COLUMN(AQ$4)-COLUMN($C$4),1,1)+OFFSET(Forecast!$B$74,0,COLUMN(AQ$4)-COLUMN($C$4),1,1)</f>
        <v>1061512.7077648288</v>
      </c>
      <c r="AR15" s="45">
        <f ca="1">OFFSET(AR$4,ROW($B15)-ROW($B$4),-1,1,1)+OFFSET(Forecast!$B$75,0,COLUMN(AR$4)-COLUMN($C$4),1,1)+OFFSET(Forecast!$B$74,0,COLUMN(AR$4)-COLUMN($C$4),1,1)</f>
        <v>1045008.2635040301</v>
      </c>
      <c r="AS15" s="45">
        <f ca="1">OFFSET(AS$4,ROW($B15)-ROW($B$4),-1,1,1)+OFFSET(Forecast!$B$75,0,COLUMN(AS$4)-COLUMN($C$4),1,1)+OFFSET(Forecast!$B$74,0,COLUMN(AS$4)-COLUMN($C$4),1,1)</f>
        <v>1045008.2635040301</v>
      </c>
      <c r="AT15" s="45">
        <f ca="1">OFFSET(AT$4,ROW($B15)-ROW($B$4),-1,1,1)+OFFSET(Forecast!$B$75,0,COLUMN(AT$4)-COLUMN($C$4),1,1)+OFFSET(Forecast!$B$74,0,COLUMN(AT$4)-COLUMN($C$4),1,1)</f>
        <v>1045008.2635040301</v>
      </c>
      <c r="AU15" s="45">
        <f ca="1">OFFSET(AU$4,ROW($B15)-ROW($B$4),-1,1,1)+OFFSET(Forecast!$B$75,0,COLUMN(AU$4)-COLUMN($C$4),1,1)+OFFSET(Forecast!$B$74,0,COLUMN(AU$4)-COLUMN($C$4),1,1)</f>
        <v>1045008.2635040301</v>
      </c>
      <c r="AV15" s="45">
        <f ca="1">OFFSET(AV$4,ROW($B15)-ROW($B$4),-1,1,1)+OFFSET(Forecast!$B$75,0,COLUMN(AV$4)-COLUMN($C$4),1,1)+OFFSET(Forecast!$B$74,0,COLUMN(AV$4)-COLUMN($C$4),1,1)</f>
        <v>1028359.4053559494</v>
      </c>
      <c r="AW15" s="45">
        <f ca="1">OFFSET(AW$4,ROW($B15)-ROW($B$4),-1,1,1)+OFFSET(Forecast!$B$75,0,COLUMN(AW$4)-COLUMN($C$4),1,1)+OFFSET(Forecast!$B$74,0,COLUMN(AW$4)-COLUMN($C$4),1,1)</f>
        <v>1028359.4053559494</v>
      </c>
      <c r="AX15" s="45">
        <f ca="1">OFFSET(AX$4,ROW($B15)-ROW($B$4),-1,1,1)+OFFSET(Forecast!$B$75,0,COLUMN(AX$4)-COLUMN($C$4),1,1)+OFFSET(Forecast!$B$74,0,COLUMN(AX$4)-COLUMN($C$4),1,1)</f>
        <v>1028359.4053559494</v>
      </c>
      <c r="AY15" s="45">
        <f ca="1">OFFSET(AY$4,ROW($B15)-ROW($B$4),-1,1,1)+OFFSET(Forecast!$B$75,0,COLUMN(AY$4)-COLUMN($C$4),1,1)+OFFSET(Forecast!$B$74,0,COLUMN(AY$4)-COLUMN($C$4),1,1)</f>
        <v>1028359.4053559494</v>
      </c>
      <c r="AZ15" s="45">
        <f ca="1">OFFSET(AZ$4,ROW($B15)-ROW($B$4),-1,1,1)+OFFSET(Forecast!$B$75,0,COLUMN(AZ$4)-COLUMN($C$4),1,1)+OFFSET(Forecast!$B$74,0,COLUMN(AZ$4)-COLUMN($C$4),1,1)</f>
        <v>1011564.869699073</v>
      </c>
      <c r="BA15" s="45">
        <f ca="1">OFFSET(BA$4,ROW($B15)-ROW($B$4),-1,1,1)+OFFSET(Forecast!$B$75,0,COLUMN(BA$4)-COLUMN($C$4),1,1)+OFFSET(Forecast!$B$74,0,COLUMN(BA$4)-COLUMN($C$4),1,1)</f>
        <v>1011564.869699073</v>
      </c>
      <c r="BB15" s="45">
        <f ca="1">OFFSET(BB$4,ROW($B15)-ROW($B$4),-1,1,1)+OFFSET(Forecast!$B$75,0,COLUMN(BB$4)-COLUMN($C$4),1,1)+OFFSET(Forecast!$B$74,0,COLUMN(BB$4)-COLUMN($C$4),1,1)</f>
        <v>1011564.869699073</v>
      </c>
      <c r="BC15" s="45">
        <f ca="1">OFFSET(BC$4,ROW($B15)-ROW($B$4),-1,1,1)+OFFSET(Forecast!$B$75,0,COLUMN(BC$4)-COLUMN($C$4),1,1)+OFFSET(Forecast!$B$74,0,COLUMN(BC$4)-COLUMN($C$4),1,1)</f>
        <v>1011564.869699073</v>
      </c>
      <c r="BD15" s="45">
        <f ca="1">OFFSET($B15,0,Assumptions!$B$7+1,1,1)</f>
        <v>1157576.0753534343</v>
      </c>
      <c r="BE15" s="45">
        <f ca="1">OFFSET($B15,0,SUM(Assumptions!$B$7:$B$8)+1,1,1)</f>
        <v>1110172.0295965739</v>
      </c>
      <c r="BF15" s="45">
        <f ca="1">OFFSET($B15,0,SUM(Assumptions!$B$7:$B$9)+1,1,1)</f>
        <v>1061512.7077648288</v>
      </c>
      <c r="BG15" s="45">
        <f ca="1">OFFSET($B15,0,SUM(Assumptions!$B$7:$B$10)+1,1,1)</f>
        <v>1011564.869699073</v>
      </c>
      <c r="BH15" s="45">
        <f ca="1">BG15</f>
        <v>1011564.869699073</v>
      </c>
    </row>
    <row r="16" spans="2:60" ht="15" customHeight="1" x14ac:dyDescent="0.35">
      <c r="B16" s="6" t="s">
        <v>40</v>
      </c>
      <c r="C16" s="25"/>
      <c r="D16" s="25"/>
      <c r="E16" s="25"/>
      <c r="F16" s="25"/>
      <c r="G16" s="25"/>
      <c r="H16" s="25"/>
      <c r="I16" s="25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</row>
    <row r="17" spans="1:60" ht="15" customHeight="1" x14ac:dyDescent="0.3">
      <c r="B17" s="7" t="s">
        <v>85</v>
      </c>
      <c r="C17" s="25">
        <f>-Assumptions!$B$29</f>
        <v>110000</v>
      </c>
      <c r="D17" s="85">
        <f ca="1">IF(ROUNDDOWN(Assumptions!$B$20/7,0)=0,0,IF(COLUMN(D$4)-3&lt;=ROUNDDOWN(Assumptions!$B$20/7,0),SUM(OFFSET(Forecast!$B$7,0,MAX(1,COLUMN(D$4)-COLUMN($C$4)-ROUNDDOWN(Assumptions!$B$20/7,0)+1),1,MIN(COLUMN(D$4)-3,ROUNDDOWN(Assumptions!$B$20/7,0))),OFFSET(Forecast!$B$12,0,MAX(1,COLUMN(D$4)-COLUMN($C$4)-ROUNDDOWN(Assumptions!$B$20/7,0)+1),ROW(Forecast!$B$36)-ROW(Forecast!$B$12),MIN(COLUMN(D$4)-3,ROUNDDOWN(Assumptions!$B$20/7,0))))/(MIN(COLUMN(D$4)-3,ROUNDDOWN(Assumptions!$B$20/7,0))*7)*Assumptions!$B$20,SUM(OFFSET(Forecast!$B$7,0,MAX(1,COLUMN(D$4)-COLUMN($C$4)-ROUNDDOWN(Assumptions!$B$20/7,0)+1),1,MIN(COLUMN(D$4)-3,ROUNDDOWN(Assumptions!$B$20/7,0))),OFFSET(Forecast!$B$12,0,MAX(1,COLUMN(D$4)-COLUMN($C$4)-ROUNDDOWN(Assumptions!$B$20/7,0)+1),ROW(Forecast!$B$36)-ROW(Forecast!$B$12),MIN(COLUMN(D$4)-3,ROUNDDOWN(Assumptions!$B$20/7,0))))))+IF(Assumptions!$B$20/7&gt;ROUNDDOWN(Assumptions!$B$20/7,0),IF(COLUMN(D$4)-3&lt;ROUNDDOWN(Assumptions!$B$20/7,0)+1,0,SUM(OFFSET(Forecast!$B$7,0,MAX(1,COLUMN(D$4)-COLUMN($C$4)-ROUNDDOWN(Assumptions!$B$20/7,0)),1,1),OFFSET(Forecast!$B$12,0,MAX(1,COLUMN(D$4)-COLUMN($C$4)-ROUNDDOWN(Assumptions!$B$20/7,0)),ROW(Forecast!$B$36)-ROW(Forecast!$B$12),1))/7*(Assumptions!$B$20-(ROUNDDOWN(Assumptions!$B$20/7,0)*7))),0)</f>
        <v>145285.71428571429</v>
      </c>
      <c r="E17" s="25">
        <f ca="1">IF(ROUNDDOWN(Assumptions!$B$20/7,0)=0,0,IF(COLUMN(E$4)-3&lt;=ROUNDDOWN(Assumptions!$B$20/7,0),SUM(OFFSET(Forecast!$B$7,0,MAX(1,COLUMN(E$4)-COLUMN($C$4)-ROUNDDOWN(Assumptions!$B$20/7,0)+1),1,MIN(COLUMN(E$4)-3,ROUNDDOWN(Assumptions!$B$20/7,0))),OFFSET(Forecast!$B$12,0,MAX(1,COLUMN(E$4)-COLUMN($C$4)-ROUNDDOWN(Assumptions!$B$20/7,0)+1),ROW(Forecast!$B$36)-ROW(Forecast!$B$12),MIN(COLUMN(E$4)-3,ROUNDDOWN(Assumptions!$B$20/7,0))))/(MIN(COLUMN(E$4)-3,ROUNDDOWN(Assumptions!$B$20/7,0))*7)*Assumptions!$B$20,SUM(OFFSET(Forecast!$B$7,0,MAX(1,COLUMN(E$4)-COLUMN($C$4)-ROUNDDOWN(Assumptions!$B$20/7,0)+1),1,MIN(COLUMN(E$4)-3,ROUNDDOWN(Assumptions!$B$20/7,0))),OFFSET(Forecast!$B$12,0,MAX(1,COLUMN(E$4)-COLUMN($C$4)-ROUNDDOWN(Assumptions!$B$20/7,0)+1),ROW(Forecast!$B$36)-ROW(Forecast!$B$12),MIN(COLUMN(E$4)-3,ROUNDDOWN(Assumptions!$B$20/7,0))))))+IF(Assumptions!$B$20/7&gt;ROUNDDOWN(Assumptions!$B$20/7,0),IF(COLUMN(E$4)-3&lt;ROUNDDOWN(Assumptions!$B$20/7,0)+1,0,SUM(OFFSET(Forecast!$B$7,0,MAX(1,COLUMN(E$4)-COLUMN($C$4)-ROUNDDOWN(Assumptions!$B$20/7,0)),1,1),OFFSET(Forecast!$B$12,0,MAX(1,COLUMN(E$4)-COLUMN($C$4)-ROUNDDOWN(Assumptions!$B$20/7,0)),ROW(Forecast!$B$36)-ROW(Forecast!$B$12),1))/7*(Assumptions!$B$20-(ROUNDDOWN(Assumptions!$B$20/7,0)*7))),0)</f>
        <v>122948.57142857143</v>
      </c>
      <c r="F17" s="25">
        <f ca="1">IF(ROUNDDOWN(Assumptions!$B$20/7,0)=0,0,IF(COLUMN(F$4)-3&lt;=ROUNDDOWN(Assumptions!$B$20/7,0),SUM(OFFSET(Forecast!$B$7,0,MAX(1,COLUMN(F$4)-COLUMN($C$4)-ROUNDDOWN(Assumptions!$B$20/7,0)+1),1,MIN(COLUMN(F$4)-3,ROUNDDOWN(Assumptions!$B$20/7,0))),OFFSET(Forecast!$B$12,0,MAX(1,COLUMN(F$4)-COLUMN($C$4)-ROUNDDOWN(Assumptions!$B$20/7,0)+1),ROW(Forecast!$B$36)-ROW(Forecast!$B$12),MIN(COLUMN(F$4)-3,ROUNDDOWN(Assumptions!$B$20/7,0))))/(MIN(COLUMN(F$4)-3,ROUNDDOWN(Assumptions!$B$20/7,0))*7)*Assumptions!$B$20,SUM(OFFSET(Forecast!$B$7,0,MAX(1,COLUMN(F$4)-COLUMN($C$4)-ROUNDDOWN(Assumptions!$B$20/7,0)+1),1,MIN(COLUMN(F$4)-3,ROUNDDOWN(Assumptions!$B$20/7,0))),OFFSET(Forecast!$B$12,0,MAX(1,COLUMN(F$4)-COLUMN($C$4)-ROUNDDOWN(Assumptions!$B$20/7,0)+1),ROW(Forecast!$B$36)-ROW(Forecast!$B$12),MIN(COLUMN(F$4)-3,ROUNDDOWN(Assumptions!$B$20/7,0))))))+IF(Assumptions!$B$20/7&gt;ROUNDDOWN(Assumptions!$B$20/7,0),IF(COLUMN(F$4)-3&lt;ROUNDDOWN(Assumptions!$B$20/7,0)+1,0,SUM(OFFSET(Forecast!$B$7,0,MAX(1,COLUMN(F$4)-COLUMN($C$4)-ROUNDDOWN(Assumptions!$B$20/7,0)),1,1),OFFSET(Forecast!$B$12,0,MAX(1,COLUMN(F$4)-COLUMN($C$4)-ROUNDDOWN(Assumptions!$B$20/7,0)),ROW(Forecast!$B$36)-ROW(Forecast!$B$12),1))/7*(Assumptions!$B$20-(ROUNDDOWN(Assumptions!$B$20/7,0)*7))),0)</f>
        <v>119237.71428571429</v>
      </c>
      <c r="G17" s="25">
        <f ca="1">IF(ROUNDDOWN(Assumptions!$B$20/7,0)=0,0,IF(COLUMN(G$4)-3&lt;=ROUNDDOWN(Assumptions!$B$20/7,0),SUM(OFFSET(Forecast!$B$7,0,MAX(1,COLUMN(G$4)-COLUMN($C$4)-ROUNDDOWN(Assumptions!$B$20/7,0)+1),1,MIN(COLUMN(G$4)-3,ROUNDDOWN(Assumptions!$B$20/7,0))),OFFSET(Forecast!$B$12,0,MAX(1,COLUMN(G$4)-COLUMN($C$4)-ROUNDDOWN(Assumptions!$B$20/7,0)+1),ROW(Forecast!$B$36)-ROW(Forecast!$B$12),MIN(COLUMN(G$4)-3,ROUNDDOWN(Assumptions!$B$20/7,0))))/(MIN(COLUMN(G$4)-3,ROUNDDOWN(Assumptions!$B$20/7,0))*7)*Assumptions!$B$20,SUM(OFFSET(Forecast!$B$7,0,MAX(1,COLUMN(G$4)-COLUMN($C$4)-ROUNDDOWN(Assumptions!$B$20/7,0)+1),1,MIN(COLUMN(G$4)-3,ROUNDDOWN(Assumptions!$B$20/7,0))),OFFSET(Forecast!$B$12,0,MAX(1,COLUMN(G$4)-COLUMN($C$4)-ROUNDDOWN(Assumptions!$B$20/7,0)+1),ROW(Forecast!$B$36)-ROW(Forecast!$B$12),MIN(COLUMN(G$4)-3,ROUNDDOWN(Assumptions!$B$20/7,0))))))+IF(Assumptions!$B$20/7&gt;ROUNDDOWN(Assumptions!$B$20/7,0),IF(COLUMN(G$4)-3&lt;ROUNDDOWN(Assumptions!$B$20/7,0)+1,0,SUM(OFFSET(Forecast!$B$7,0,MAX(1,COLUMN(G$4)-COLUMN($C$4)-ROUNDDOWN(Assumptions!$B$20/7,0)),1,1),OFFSET(Forecast!$B$12,0,MAX(1,COLUMN(G$4)-COLUMN($C$4)-ROUNDDOWN(Assumptions!$B$20/7,0)),ROW(Forecast!$B$36)-ROW(Forecast!$B$12),1))/7*(Assumptions!$B$20-(ROUNDDOWN(Assumptions!$B$20/7,0)*7))),0)</f>
        <v>128407.42857142857</v>
      </c>
      <c r="H17" s="25">
        <f ca="1">IF(ROUNDDOWN(Assumptions!$B$20/7,0)=0,0,IF(COLUMN(H$4)-3&lt;=ROUNDDOWN(Assumptions!$B$20/7,0),SUM(OFFSET(Forecast!$B$7,0,MAX(1,COLUMN(H$4)-COLUMN($C$4)-ROUNDDOWN(Assumptions!$B$20/7,0)+1),1,MIN(COLUMN(H$4)-3,ROUNDDOWN(Assumptions!$B$20/7,0))),OFFSET(Forecast!$B$12,0,MAX(1,COLUMN(H$4)-COLUMN($C$4)-ROUNDDOWN(Assumptions!$B$20/7,0)+1),ROW(Forecast!$B$36)-ROW(Forecast!$B$12),MIN(COLUMN(H$4)-3,ROUNDDOWN(Assumptions!$B$20/7,0))))/(MIN(COLUMN(H$4)-3,ROUNDDOWN(Assumptions!$B$20/7,0))*7)*Assumptions!$B$20,SUM(OFFSET(Forecast!$B$7,0,MAX(1,COLUMN(H$4)-COLUMN($C$4)-ROUNDDOWN(Assumptions!$B$20/7,0)+1),1,MIN(COLUMN(H$4)-3,ROUNDDOWN(Assumptions!$B$20/7,0))),OFFSET(Forecast!$B$12,0,MAX(1,COLUMN(H$4)-COLUMN($C$4)-ROUNDDOWN(Assumptions!$B$20/7,0)+1),ROW(Forecast!$B$36)-ROW(Forecast!$B$12),MIN(COLUMN(H$4)-3,ROUNDDOWN(Assumptions!$B$20/7,0))))))+IF(Assumptions!$B$20/7&gt;ROUNDDOWN(Assumptions!$B$20/7,0),IF(COLUMN(H$4)-3&lt;ROUNDDOWN(Assumptions!$B$20/7,0)+1,0,SUM(OFFSET(Forecast!$B$7,0,MAX(1,COLUMN(H$4)-COLUMN($C$4)-ROUNDDOWN(Assumptions!$B$20/7,0)),1,1),OFFSET(Forecast!$B$12,0,MAX(1,COLUMN(H$4)-COLUMN($C$4)-ROUNDDOWN(Assumptions!$B$20/7,0)),ROW(Forecast!$B$36)-ROW(Forecast!$B$12),1))/7*(Assumptions!$B$20-(ROUNDDOWN(Assumptions!$B$20/7,0)*7))),0)</f>
        <v>140487.85714285713</v>
      </c>
      <c r="I17" s="25">
        <f ca="1">IF(ROUNDDOWN(Assumptions!$B$20/7,0)=0,0,IF(COLUMN(I$4)-3&lt;=ROUNDDOWN(Assumptions!$B$20/7,0),SUM(OFFSET(Forecast!$B$7,0,MAX(1,COLUMN(I$4)-COLUMN($C$4)-ROUNDDOWN(Assumptions!$B$20/7,0)+1),1,MIN(COLUMN(I$4)-3,ROUNDDOWN(Assumptions!$B$20/7,0))),OFFSET(Forecast!$B$12,0,MAX(1,COLUMN(I$4)-COLUMN($C$4)-ROUNDDOWN(Assumptions!$B$20/7,0)+1),ROW(Forecast!$B$36)-ROW(Forecast!$B$12),MIN(COLUMN(I$4)-3,ROUNDDOWN(Assumptions!$B$20/7,0))))/(MIN(COLUMN(I$4)-3,ROUNDDOWN(Assumptions!$B$20/7,0))*7)*Assumptions!$B$20,SUM(OFFSET(Forecast!$B$7,0,MAX(1,COLUMN(I$4)-COLUMN($C$4)-ROUNDDOWN(Assumptions!$B$20/7,0)+1),1,MIN(COLUMN(I$4)-3,ROUNDDOWN(Assumptions!$B$20/7,0))),OFFSET(Forecast!$B$12,0,MAX(1,COLUMN(I$4)-COLUMN($C$4)-ROUNDDOWN(Assumptions!$B$20/7,0)+1),ROW(Forecast!$B$36)-ROW(Forecast!$B$12),MIN(COLUMN(I$4)-3,ROUNDDOWN(Assumptions!$B$20/7,0))))))+IF(Assumptions!$B$20/7&gt;ROUNDDOWN(Assumptions!$B$20/7,0),IF(COLUMN(I$4)-3&lt;ROUNDDOWN(Assumptions!$B$20/7,0)+1,0,SUM(OFFSET(Forecast!$B$7,0,MAX(1,COLUMN(I$4)-COLUMN($C$4)-ROUNDDOWN(Assumptions!$B$20/7,0)),1,1),OFFSET(Forecast!$B$12,0,MAX(1,COLUMN(I$4)-COLUMN($C$4)-ROUNDDOWN(Assumptions!$B$20/7,0)),ROW(Forecast!$B$36)-ROW(Forecast!$B$12),1))/7*(Assumptions!$B$20-(ROUNDDOWN(Assumptions!$B$20/7,0)*7))),0)</f>
        <v>154725.35714285713</v>
      </c>
      <c r="J17" s="25">
        <f ca="1">IF(ROUNDDOWN(Assumptions!$B$20/7,0)=0,0,IF(COLUMN(J$4)-3&lt;=ROUNDDOWN(Assumptions!$B$20/7,0),SUM(OFFSET(Forecast!$B$7,0,MAX(1,COLUMN(J$4)-COLUMN($C$4)-ROUNDDOWN(Assumptions!$B$20/7,0)+1),1,MIN(COLUMN(J$4)-3,ROUNDDOWN(Assumptions!$B$20/7,0))),OFFSET(Forecast!$B$12,0,MAX(1,COLUMN(J$4)-COLUMN($C$4)-ROUNDDOWN(Assumptions!$B$20/7,0)+1),ROW(Forecast!$B$36)-ROW(Forecast!$B$12),MIN(COLUMN(J$4)-3,ROUNDDOWN(Assumptions!$B$20/7,0))))/(MIN(COLUMN(J$4)-3,ROUNDDOWN(Assumptions!$B$20/7,0))*7)*Assumptions!$B$20,SUM(OFFSET(Forecast!$B$7,0,MAX(1,COLUMN(J$4)-COLUMN($C$4)-ROUNDDOWN(Assumptions!$B$20/7,0)+1),1,MIN(COLUMN(J$4)-3,ROUNDDOWN(Assumptions!$B$20/7,0))),OFFSET(Forecast!$B$12,0,MAX(1,COLUMN(J$4)-COLUMN($C$4)-ROUNDDOWN(Assumptions!$B$20/7,0)+1),ROW(Forecast!$B$36)-ROW(Forecast!$B$12),MIN(COLUMN(J$4)-3,ROUNDDOWN(Assumptions!$B$20/7,0))))))+IF(Assumptions!$B$20/7&gt;ROUNDDOWN(Assumptions!$B$20/7,0),IF(COLUMN(J$4)-3&lt;ROUNDDOWN(Assumptions!$B$20/7,0)+1,0,SUM(OFFSET(Forecast!$B$7,0,MAX(1,COLUMN(J$4)-COLUMN($C$4)-ROUNDDOWN(Assumptions!$B$20/7,0)),1,1),OFFSET(Forecast!$B$12,0,MAX(1,COLUMN(J$4)-COLUMN($C$4)-ROUNDDOWN(Assumptions!$B$20/7,0)),ROW(Forecast!$B$36)-ROW(Forecast!$B$12),1))/7*(Assumptions!$B$20-(ROUNDDOWN(Assumptions!$B$20/7,0)*7))),0)</f>
        <v>148184.28571428571</v>
      </c>
      <c r="K17" s="25">
        <f ca="1">IF(ROUNDDOWN(Assumptions!$B$20/7,0)=0,0,IF(COLUMN(K$4)-3&lt;=ROUNDDOWN(Assumptions!$B$20/7,0),SUM(OFFSET(Forecast!$B$7,0,MAX(1,COLUMN(K$4)-COLUMN($C$4)-ROUNDDOWN(Assumptions!$B$20/7,0)+1),1,MIN(COLUMN(K$4)-3,ROUNDDOWN(Assumptions!$B$20/7,0))),OFFSET(Forecast!$B$12,0,MAX(1,COLUMN(K$4)-COLUMN($C$4)-ROUNDDOWN(Assumptions!$B$20/7,0)+1),ROW(Forecast!$B$36)-ROW(Forecast!$B$12),MIN(COLUMN(K$4)-3,ROUNDDOWN(Assumptions!$B$20/7,0))))/(MIN(COLUMN(K$4)-3,ROUNDDOWN(Assumptions!$B$20/7,0))*7)*Assumptions!$B$20,SUM(OFFSET(Forecast!$B$7,0,MAX(1,COLUMN(K$4)-COLUMN($C$4)-ROUNDDOWN(Assumptions!$B$20/7,0)+1),1,MIN(COLUMN(K$4)-3,ROUNDDOWN(Assumptions!$B$20/7,0))),OFFSET(Forecast!$B$12,0,MAX(1,COLUMN(K$4)-COLUMN($C$4)-ROUNDDOWN(Assumptions!$B$20/7,0)+1),ROW(Forecast!$B$36)-ROW(Forecast!$B$12),MIN(COLUMN(K$4)-3,ROUNDDOWN(Assumptions!$B$20/7,0))))))+IF(Assumptions!$B$20/7&gt;ROUNDDOWN(Assumptions!$B$20/7,0),IF(COLUMN(K$4)-3&lt;ROUNDDOWN(Assumptions!$B$20/7,0)+1,0,SUM(OFFSET(Forecast!$B$7,0,MAX(1,COLUMN(K$4)-COLUMN($C$4)-ROUNDDOWN(Assumptions!$B$20/7,0)),1,1),OFFSET(Forecast!$B$12,0,MAX(1,COLUMN(K$4)-COLUMN($C$4)-ROUNDDOWN(Assumptions!$B$20/7,0)),ROW(Forecast!$B$36)-ROW(Forecast!$B$12),1))/7*(Assumptions!$B$20-(ROUNDDOWN(Assumptions!$B$20/7,0)*7))),0)</f>
        <v>132618.21428571429</v>
      </c>
      <c r="L17" s="25">
        <f ca="1">IF(ROUNDDOWN(Assumptions!$B$20/7,0)=0,0,IF(COLUMN(L$4)-3&lt;=ROUNDDOWN(Assumptions!$B$20/7,0),SUM(OFFSET(Forecast!$B$7,0,MAX(1,COLUMN(L$4)-COLUMN($C$4)-ROUNDDOWN(Assumptions!$B$20/7,0)+1),1,MIN(COLUMN(L$4)-3,ROUNDDOWN(Assumptions!$B$20/7,0))),OFFSET(Forecast!$B$12,0,MAX(1,COLUMN(L$4)-COLUMN($C$4)-ROUNDDOWN(Assumptions!$B$20/7,0)+1),ROW(Forecast!$B$36)-ROW(Forecast!$B$12),MIN(COLUMN(L$4)-3,ROUNDDOWN(Assumptions!$B$20/7,0))))/(MIN(COLUMN(L$4)-3,ROUNDDOWN(Assumptions!$B$20/7,0))*7)*Assumptions!$B$20,SUM(OFFSET(Forecast!$B$7,0,MAX(1,COLUMN(L$4)-COLUMN($C$4)-ROUNDDOWN(Assumptions!$B$20/7,0)+1),1,MIN(COLUMN(L$4)-3,ROUNDDOWN(Assumptions!$B$20/7,0))),OFFSET(Forecast!$B$12,0,MAX(1,COLUMN(L$4)-COLUMN($C$4)-ROUNDDOWN(Assumptions!$B$20/7,0)+1),ROW(Forecast!$B$36)-ROW(Forecast!$B$12),MIN(COLUMN(L$4)-3,ROUNDDOWN(Assumptions!$B$20/7,0))))))+IF(Assumptions!$B$20/7&gt;ROUNDDOWN(Assumptions!$B$20/7,0),IF(COLUMN(L$4)-3&lt;ROUNDDOWN(Assumptions!$B$20/7,0)+1,0,SUM(OFFSET(Forecast!$B$7,0,MAX(1,COLUMN(L$4)-COLUMN($C$4)-ROUNDDOWN(Assumptions!$B$20/7,0)),1,1),OFFSET(Forecast!$B$12,0,MAX(1,COLUMN(L$4)-COLUMN($C$4)-ROUNDDOWN(Assumptions!$B$20/7,0)),ROW(Forecast!$B$36)-ROW(Forecast!$B$12),1))/7*(Assumptions!$B$20-(ROUNDDOWN(Assumptions!$B$20/7,0)*7))),0)</f>
        <v>131750</v>
      </c>
      <c r="M17" s="25">
        <f ca="1">IF(ROUNDDOWN(Assumptions!$B$20/7,0)=0,0,IF(COLUMN(M$4)-3&lt;=ROUNDDOWN(Assumptions!$B$20/7,0),SUM(OFFSET(Forecast!$B$7,0,MAX(1,COLUMN(M$4)-COLUMN($C$4)-ROUNDDOWN(Assumptions!$B$20/7,0)+1),1,MIN(COLUMN(M$4)-3,ROUNDDOWN(Assumptions!$B$20/7,0))),OFFSET(Forecast!$B$12,0,MAX(1,COLUMN(M$4)-COLUMN($C$4)-ROUNDDOWN(Assumptions!$B$20/7,0)+1),ROW(Forecast!$B$36)-ROW(Forecast!$B$12),MIN(COLUMN(M$4)-3,ROUNDDOWN(Assumptions!$B$20/7,0))))/(MIN(COLUMN(M$4)-3,ROUNDDOWN(Assumptions!$B$20/7,0))*7)*Assumptions!$B$20,SUM(OFFSET(Forecast!$B$7,0,MAX(1,COLUMN(M$4)-COLUMN($C$4)-ROUNDDOWN(Assumptions!$B$20/7,0)+1),1,MIN(COLUMN(M$4)-3,ROUNDDOWN(Assumptions!$B$20/7,0))),OFFSET(Forecast!$B$12,0,MAX(1,COLUMN(M$4)-COLUMN($C$4)-ROUNDDOWN(Assumptions!$B$20/7,0)+1),ROW(Forecast!$B$36)-ROW(Forecast!$B$12),MIN(COLUMN(M$4)-3,ROUNDDOWN(Assumptions!$B$20/7,0))))))+IF(Assumptions!$B$20/7&gt;ROUNDDOWN(Assumptions!$B$20/7,0),IF(COLUMN(M$4)-3&lt;ROUNDDOWN(Assumptions!$B$20/7,0)+1,0,SUM(OFFSET(Forecast!$B$7,0,MAX(1,COLUMN(M$4)-COLUMN($C$4)-ROUNDDOWN(Assumptions!$B$20/7,0)),1,1),OFFSET(Forecast!$B$12,0,MAX(1,COLUMN(M$4)-COLUMN($C$4)-ROUNDDOWN(Assumptions!$B$20/7,0)),ROW(Forecast!$B$36)-ROW(Forecast!$B$12),1))/7*(Assumptions!$B$20-(ROUNDDOWN(Assumptions!$B$20/7,0)*7))),0)</f>
        <v>145331.07142857142</v>
      </c>
      <c r="N17" s="25">
        <f ca="1">IF(ROUNDDOWN(Assumptions!$B$20/7,0)=0,0,IF(COLUMN(N$4)-3&lt;=ROUNDDOWN(Assumptions!$B$20/7,0),SUM(OFFSET(Forecast!$B$7,0,MAX(1,COLUMN(N$4)-COLUMN($C$4)-ROUNDDOWN(Assumptions!$B$20/7,0)+1),1,MIN(COLUMN(N$4)-3,ROUNDDOWN(Assumptions!$B$20/7,0))),OFFSET(Forecast!$B$12,0,MAX(1,COLUMN(N$4)-COLUMN($C$4)-ROUNDDOWN(Assumptions!$B$20/7,0)+1),ROW(Forecast!$B$36)-ROW(Forecast!$B$12),MIN(COLUMN(N$4)-3,ROUNDDOWN(Assumptions!$B$20/7,0))))/(MIN(COLUMN(N$4)-3,ROUNDDOWN(Assumptions!$B$20/7,0))*7)*Assumptions!$B$20,SUM(OFFSET(Forecast!$B$7,0,MAX(1,COLUMN(N$4)-COLUMN($C$4)-ROUNDDOWN(Assumptions!$B$20/7,0)+1),1,MIN(COLUMN(N$4)-3,ROUNDDOWN(Assumptions!$B$20/7,0))),OFFSET(Forecast!$B$12,0,MAX(1,COLUMN(N$4)-COLUMN($C$4)-ROUNDDOWN(Assumptions!$B$20/7,0)+1),ROW(Forecast!$B$36)-ROW(Forecast!$B$12),MIN(COLUMN(N$4)-3,ROUNDDOWN(Assumptions!$B$20/7,0))))))+IF(Assumptions!$B$20/7&gt;ROUNDDOWN(Assumptions!$B$20/7,0),IF(COLUMN(N$4)-3&lt;ROUNDDOWN(Assumptions!$B$20/7,0)+1,0,SUM(OFFSET(Forecast!$B$7,0,MAX(1,COLUMN(N$4)-COLUMN($C$4)-ROUNDDOWN(Assumptions!$B$20/7,0)),1,1),OFFSET(Forecast!$B$12,0,MAX(1,COLUMN(N$4)-COLUMN($C$4)-ROUNDDOWN(Assumptions!$B$20/7,0)),ROW(Forecast!$B$36)-ROW(Forecast!$B$12),1))/7*(Assumptions!$B$20-(ROUNDDOWN(Assumptions!$B$20/7,0)*7))),0)</f>
        <v>141113.28571428571</v>
      </c>
      <c r="O17" s="25">
        <f ca="1">IF(ROUNDDOWN(Assumptions!$B$20/7,0)=0,0,IF(COLUMN(O$4)-3&lt;=ROUNDDOWN(Assumptions!$B$20/7,0),SUM(OFFSET(Forecast!$B$7,0,MAX(1,COLUMN(O$4)-COLUMN($C$4)-ROUNDDOWN(Assumptions!$B$20/7,0)+1),1,MIN(COLUMN(O$4)-3,ROUNDDOWN(Assumptions!$B$20/7,0))),OFFSET(Forecast!$B$12,0,MAX(1,COLUMN(O$4)-COLUMN($C$4)-ROUNDDOWN(Assumptions!$B$20/7,0)+1),ROW(Forecast!$B$36)-ROW(Forecast!$B$12),MIN(COLUMN(O$4)-3,ROUNDDOWN(Assumptions!$B$20/7,0))))/(MIN(COLUMN(O$4)-3,ROUNDDOWN(Assumptions!$B$20/7,0))*7)*Assumptions!$B$20,SUM(OFFSET(Forecast!$B$7,0,MAX(1,COLUMN(O$4)-COLUMN($C$4)-ROUNDDOWN(Assumptions!$B$20/7,0)+1),1,MIN(COLUMN(O$4)-3,ROUNDDOWN(Assumptions!$B$20/7,0))),OFFSET(Forecast!$B$12,0,MAX(1,COLUMN(O$4)-COLUMN($C$4)-ROUNDDOWN(Assumptions!$B$20/7,0)+1),ROW(Forecast!$B$36)-ROW(Forecast!$B$12),MIN(COLUMN(O$4)-3,ROUNDDOWN(Assumptions!$B$20/7,0))))))+IF(Assumptions!$B$20/7&gt;ROUNDDOWN(Assumptions!$B$20/7,0),IF(COLUMN(O$4)-3&lt;ROUNDDOWN(Assumptions!$B$20/7,0)+1,0,SUM(OFFSET(Forecast!$B$7,0,MAX(1,COLUMN(O$4)-COLUMN($C$4)-ROUNDDOWN(Assumptions!$B$20/7,0)),1,1),OFFSET(Forecast!$B$12,0,MAX(1,COLUMN(O$4)-COLUMN($C$4)-ROUNDDOWN(Assumptions!$B$20/7,0)),ROW(Forecast!$B$36)-ROW(Forecast!$B$12),1))/7*(Assumptions!$B$20-(ROUNDDOWN(Assumptions!$B$20/7,0)*7))),0)</f>
        <v>127211.14285714286</v>
      </c>
      <c r="P17" s="25">
        <f ca="1">IF(ROUNDDOWN(Assumptions!$B$20/7,0)=0,0,IF(COLUMN(P$4)-3&lt;=ROUNDDOWN(Assumptions!$B$20/7,0),SUM(OFFSET(Forecast!$B$7,0,MAX(1,COLUMN(P$4)-COLUMN($C$4)-ROUNDDOWN(Assumptions!$B$20/7,0)+1),1,MIN(COLUMN(P$4)-3,ROUNDDOWN(Assumptions!$B$20/7,0))),OFFSET(Forecast!$B$12,0,MAX(1,COLUMN(P$4)-COLUMN($C$4)-ROUNDDOWN(Assumptions!$B$20/7,0)+1),ROW(Forecast!$B$36)-ROW(Forecast!$B$12),MIN(COLUMN(P$4)-3,ROUNDDOWN(Assumptions!$B$20/7,0))))/(MIN(COLUMN(P$4)-3,ROUNDDOWN(Assumptions!$B$20/7,0))*7)*Assumptions!$B$20,SUM(OFFSET(Forecast!$B$7,0,MAX(1,COLUMN(P$4)-COLUMN($C$4)-ROUNDDOWN(Assumptions!$B$20/7,0)+1),1,MIN(COLUMN(P$4)-3,ROUNDDOWN(Assumptions!$B$20/7,0))),OFFSET(Forecast!$B$12,0,MAX(1,COLUMN(P$4)-COLUMN($C$4)-ROUNDDOWN(Assumptions!$B$20/7,0)+1),ROW(Forecast!$B$36)-ROW(Forecast!$B$12),MIN(COLUMN(P$4)-3,ROUNDDOWN(Assumptions!$B$20/7,0))))))+IF(Assumptions!$B$20/7&gt;ROUNDDOWN(Assumptions!$B$20/7,0),IF(COLUMN(P$4)-3&lt;ROUNDDOWN(Assumptions!$B$20/7,0)+1,0,SUM(OFFSET(Forecast!$B$7,0,MAX(1,COLUMN(P$4)-COLUMN($C$4)-ROUNDDOWN(Assumptions!$B$20/7,0)),1,1),OFFSET(Forecast!$B$12,0,MAX(1,COLUMN(P$4)-COLUMN($C$4)-ROUNDDOWN(Assumptions!$B$20/7,0)),ROW(Forecast!$B$36)-ROW(Forecast!$B$12),1))/7*(Assumptions!$B$20-(ROUNDDOWN(Assumptions!$B$20/7,0)*7))),0)</f>
        <v>152054.85714285713</v>
      </c>
      <c r="Q17" s="25">
        <f ca="1">IF(ROUNDDOWN(Assumptions!$B$20/7,0)=0,0,IF(COLUMN(Q$4)-3&lt;=ROUNDDOWN(Assumptions!$B$20/7,0),SUM(OFFSET(Forecast!$B$7,0,MAX(1,COLUMN(Q$4)-COLUMN($C$4)-ROUNDDOWN(Assumptions!$B$20/7,0)+1),1,MIN(COLUMN(Q$4)-3,ROUNDDOWN(Assumptions!$B$20/7,0))),OFFSET(Forecast!$B$12,0,MAX(1,COLUMN(Q$4)-COLUMN($C$4)-ROUNDDOWN(Assumptions!$B$20/7,0)+1),ROW(Forecast!$B$36)-ROW(Forecast!$B$12),MIN(COLUMN(Q$4)-3,ROUNDDOWN(Assumptions!$B$20/7,0))))/(MIN(COLUMN(Q$4)-3,ROUNDDOWN(Assumptions!$B$20/7,0))*7)*Assumptions!$B$20,SUM(OFFSET(Forecast!$B$7,0,MAX(1,COLUMN(Q$4)-COLUMN($C$4)-ROUNDDOWN(Assumptions!$B$20/7,0)+1),1,MIN(COLUMN(Q$4)-3,ROUNDDOWN(Assumptions!$B$20/7,0))),OFFSET(Forecast!$B$12,0,MAX(1,COLUMN(Q$4)-COLUMN($C$4)-ROUNDDOWN(Assumptions!$B$20/7,0)+1),ROW(Forecast!$B$36)-ROW(Forecast!$B$12),MIN(COLUMN(Q$4)-3,ROUNDDOWN(Assumptions!$B$20/7,0))))))+IF(Assumptions!$B$20/7&gt;ROUNDDOWN(Assumptions!$B$20/7,0),IF(COLUMN(Q$4)-3&lt;ROUNDDOWN(Assumptions!$B$20/7,0)+1,0,SUM(OFFSET(Forecast!$B$7,0,MAX(1,COLUMN(Q$4)-COLUMN($C$4)-ROUNDDOWN(Assumptions!$B$20/7,0)),1,1),OFFSET(Forecast!$B$12,0,MAX(1,COLUMN(Q$4)-COLUMN($C$4)-ROUNDDOWN(Assumptions!$B$20/7,0)),ROW(Forecast!$B$36)-ROW(Forecast!$B$12),1))/7*(Assumptions!$B$20-(ROUNDDOWN(Assumptions!$B$20/7,0)*7))),0)</f>
        <v>167243.57142857142</v>
      </c>
      <c r="R17" s="25">
        <f ca="1">IF(ROUNDDOWN(Assumptions!$B$20/7,0)=0,0,IF(COLUMN(R$4)-3&lt;=ROUNDDOWN(Assumptions!$B$20/7,0),SUM(OFFSET(Forecast!$B$7,0,MAX(1,COLUMN(R$4)-COLUMN($C$4)-ROUNDDOWN(Assumptions!$B$20/7,0)+1),1,MIN(COLUMN(R$4)-3,ROUNDDOWN(Assumptions!$B$20/7,0))),OFFSET(Forecast!$B$12,0,MAX(1,COLUMN(R$4)-COLUMN($C$4)-ROUNDDOWN(Assumptions!$B$20/7,0)+1),ROW(Forecast!$B$36)-ROW(Forecast!$B$12),MIN(COLUMN(R$4)-3,ROUNDDOWN(Assumptions!$B$20/7,0))))/(MIN(COLUMN(R$4)-3,ROUNDDOWN(Assumptions!$B$20/7,0))*7)*Assumptions!$B$20,SUM(OFFSET(Forecast!$B$7,0,MAX(1,COLUMN(R$4)-COLUMN($C$4)-ROUNDDOWN(Assumptions!$B$20/7,0)+1),1,MIN(COLUMN(R$4)-3,ROUNDDOWN(Assumptions!$B$20/7,0))),OFFSET(Forecast!$B$12,0,MAX(1,COLUMN(R$4)-COLUMN($C$4)-ROUNDDOWN(Assumptions!$B$20/7,0)+1),ROW(Forecast!$B$36)-ROW(Forecast!$B$12),MIN(COLUMN(R$4)-3,ROUNDDOWN(Assumptions!$B$20/7,0))))))+IF(Assumptions!$B$20/7&gt;ROUNDDOWN(Assumptions!$B$20/7,0),IF(COLUMN(R$4)-3&lt;ROUNDDOWN(Assumptions!$B$20/7,0)+1,0,SUM(OFFSET(Forecast!$B$7,0,MAX(1,COLUMN(R$4)-COLUMN($C$4)-ROUNDDOWN(Assumptions!$B$20/7,0)),1,1),OFFSET(Forecast!$B$12,0,MAX(1,COLUMN(R$4)-COLUMN($C$4)-ROUNDDOWN(Assumptions!$B$20/7,0)),ROW(Forecast!$B$36)-ROW(Forecast!$B$12),1))/7*(Assumptions!$B$20-(ROUNDDOWN(Assumptions!$B$20/7,0)*7))),0)</f>
        <v>143926.42857142858</v>
      </c>
      <c r="S17" s="25">
        <f ca="1">IF(ROUNDDOWN(Assumptions!$B$20/7,0)=0,0,IF(COLUMN(S$4)-3&lt;=ROUNDDOWN(Assumptions!$B$20/7,0),SUM(OFFSET(Forecast!$B$7,0,MAX(1,COLUMN(S$4)-COLUMN($C$4)-ROUNDDOWN(Assumptions!$B$20/7,0)+1),1,MIN(COLUMN(S$4)-3,ROUNDDOWN(Assumptions!$B$20/7,0))),OFFSET(Forecast!$B$12,0,MAX(1,COLUMN(S$4)-COLUMN($C$4)-ROUNDDOWN(Assumptions!$B$20/7,0)+1),ROW(Forecast!$B$36)-ROW(Forecast!$B$12),MIN(COLUMN(S$4)-3,ROUNDDOWN(Assumptions!$B$20/7,0))))/(MIN(COLUMN(S$4)-3,ROUNDDOWN(Assumptions!$B$20/7,0))*7)*Assumptions!$B$20,SUM(OFFSET(Forecast!$B$7,0,MAX(1,COLUMN(S$4)-COLUMN($C$4)-ROUNDDOWN(Assumptions!$B$20/7,0)+1),1,MIN(COLUMN(S$4)-3,ROUNDDOWN(Assumptions!$B$20/7,0))),OFFSET(Forecast!$B$12,0,MAX(1,COLUMN(S$4)-COLUMN($C$4)-ROUNDDOWN(Assumptions!$B$20/7,0)+1),ROW(Forecast!$B$36)-ROW(Forecast!$B$12),MIN(COLUMN(S$4)-3,ROUNDDOWN(Assumptions!$B$20/7,0))))))+IF(Assumptions!$B$20/7&gt;ROUNDDOWN(Assumptions!$B$20/7,0),IF(COLUMN(S$4)-3&lt;ROUNDDOWN(Assumptions!$B$20/7,0)+1,0,SUM(OFFSET(Forecast!$B$7,0,MAX(1,COLUMN(S$4)-COLUMN($C$4)-ROUNDDOWN(Assumptions!$B$20/7,0)),1,1),OFFSET(Forecast!$B$12,0,MAX(1,COLUMN(S$4)-COLUMN($C$4)-ROUNDDOWN(Assumptions!$B$20/7,0)),ROW(Forecast!$B$36)-ROW(Forecast!$B$12),1))/7*(Assumptions!$B$20-(ROUNDDOWN(Assumptions!$B$20/7,0)*7))),0)</f>
        <v>126710.35714285714</v>
      </c>
      <c r="T17" s="25">
        <f ca="1">IF(ROUNDDOWN(Assumptions!$B$20/7,0)=0,0,IF(COLUMN(T$4)-3&lt;=ROUNDDOWN(Assumptions!$B$20/7,0),SUM(OFFSET(Forecast!$B$7,0,MAX(1,COLUMN(T$4)-COLUMN($C$4)-ROUNDDOWN(Assumptions!$B$20/7,0)+1),1,MIN(COLUMN(T$4)-3,ROUNDDOWN(Assumptions!$B$20/7,0))),OFFSET(Forecast!$B$12,0,MAX(1,COLUMN(T$4)-COLUMN($C$4)-ROUNDDOWN(Assumptions!$B$20/7,0)+1),ROW(Forecast!$B$36)-ROW(Forecast!$B$12),MIN(COLUMN(T$4)-3,ROUNDDOWN(Assumptions!$B$20/7,0))))/(MIN(COLUMN(T$4)-3,ROUNDDOWN(Assumptions!$B$20/7,0))*7)*Assumptions!$B$20,SUM(OFFSET(Forecast!$B$7,0,MAX(1,COLUMN(T$4)-COLUMN($C$4)-ROUNDDOWN(Assumptions!$B$20/7,0)+1),1,MIN(COLUMN(T$4)-3,ROUNDDOWN(Assumptions!$B$20/7,0))),OFFSET(Forecast!$B$12,0,MAX(1,COLUMN(T$4)-COLUMN($C$4)-ROUNDDOWN(Assumptions!$B$20/7,0)+1),ROW(Forecast!$B$36)-ROW(Forecast!$B$12),MIN(COLUMN(T$4)-3,ROUNDDOWN(Assumptions!$B$20/7,0))))))+IF(Assumptions!$B$20/7&gt;ROUNDDOWN(Assumptions!$B$20/7,0),IF(COLUMN(T$4)-3&lt;ROUNDDOWN(Assumptions!$B$20/7,0)+1,0,SUM(OFFSET(Forecast!$B$7,0,MAX(1,COLUMN(T$4)-COLUMN($C$4)-ROUNDDOWN(Assumptions!$B$20/7,0)),1,1),OFFSET(Forecast!$B$12,0,MAX(1,COLUMN(T$4)-COLUMN($C$4)-ROUNDDOWN(Assumptions!$B$20/7,0)),ROW(Forecast!$B$36)-ROW(Forecast!$B$12),1))/7*(Assumptions!$B$20-(ROUNDDOWN(Assumptions!$B$20/7,0)*7))),0)</f>
        <v>138115.71428571429</v>
      </c>
      <c r="U17" s="25">
        <f ca="1">IF(ROUNDDOWN(Assumptions!$B$20/7,0)=0,0,IF(COLUMN(U$4)-3&lt;=ROUNDDOWN(Assumptions!$B$20/7,0),SUM(OFFSET(Forecast!$B$7,0,MAX(1,COLUMN(U$4)-COLUMN($C$4)-ROUNDDOWN(Assumptions!$B$20/7,0)+1),1,MIN(COLUMN(U$4)-3,ROUNDDOWN(Assumptions!$B$20/7,0))),OFFSET(Forecast!$B$12,0,MAX(1,COLUMN(U$4)-COLUMN($C$4)-ROUNDDOWN(Assumptions!$B$20/7,0)+1),ROW(Forecast!$B$36)-ROW(Forecast!$B$12),MIN(COLUMN(U$4)-3,ROUNDDOWN(Assumptions!$B$20/7,0))))/(MIN(COLUMN(U$4)-3,ROUNDDOWN(Assumptions!$B$20/7,0))*7)*Assumptions!$B$20,SUM(OFFSET(Forecast!$B$7,0,MAX(1,COLUMN(U$4)-COLUMN($C$4)-ROUNDDOWN(Assumptions!$B$20/7,0)+1),1,MIN(COLUMN(U$4)-3,ROUNDDOWN(Assumptions!$B$20/7,0))),OFFSET(Forecast!$B$12,0,MAX(1,COLUMN(U$4)-COLUMN($C$4)-ROUNDDOWN(Assumptions!$B$20/7,0)+1),ROW(Forecast!$B$36)-ROW(Forecast!$B$12),MIN(COLUMN(U$4)-3,ROUNDDOWN(Assumptions!$B$20/7,0))))))+IF(Assumptions!$B$20/7&gt;ROUNDDOWN(Assumptions!$B$20/7,0),IF(COLUMN(U$4)-3&lt;ROUNDDOWN(Assumptions!$B$20/7,0)+1,0,SUM(OFFSET(Forecast!$B$7,0,MAX(1,COLUMN(U$4)-COLUMN($C$4)-ROUNDDOWN(Assumptions!$B$20/7,0)),1,1),OFFSET(Forecast!$B$12,0,MAX(1,COLUMN(U$4)-COLUMN($C$4)-ROUNDDOWN(Assumptions!$B$20/7,0)),ROW(Forecast!$B$36)-ROW(Forecast!$B$12),1))/7*(Assumptions!$B$20-(ROUNDDOWN(Assumptions!$B$20/7,0)*7))),0)</f>
        <v>155755</v>
      </c>
      <c r="V17" s="25">
        <f ca="1">IF(ROUNDDOWN(Assumptions!$B$20/7,0)=0,0,IF(COLUMN(V$4)-3&lt;=ROUNDDOWN(Assumptions!$B$20/7,0),SUM(OFFSET(Forecast!$B$7,0,MAX(1,COLUMN(V$4)-COLUMN($C$4)-ROUNDDOWN(Assumptions!$B$20/7,0)+1),1,MIN(COLUMN(V$4)-3,ROUNDDOWN(Assumptions!$B$20/7,0))),OFFSET(Forecast!$B$12,0,MAX(1,COLUMN(V$4)-COLUMN($C$4)-ROUNDDOWN(Assumptions!$B$20/7,0)+1),ROW(Forecast!$B$36)-ROW(Forecast!$B$12),MIN(COLUMN(V$4)-3,ROUNDDOWN(Assumptions!$B$20/7,0))))/(MIN(COLUMN(V$4)-3,ROUNDDOWN(Assumptions!$B$20/7,0))*7)*Assumptions!$B$20,SUM(OFFSET(Forecast!$B$7,0,MAX(1,COLUMN(V$4)-COLUMN($C$4)-ROUNDDOWN(Assumptions!$B$20/7,0)+1),1,MIN(COLUMN(V$4)-3,ROUNDDOWN(Assumptions!$B$20/7,0))),OFFSET(Forecast!$B$12,0,MAX(1,COLUMN(V$4)-COLUMN($C$4)-ROUNDDOWN(Assumptions!$B$20/7,0)+1),ROW(Forecast!$B$36)-ROW(Forecast!$B$12),MIN(COLUMN(V$4)-3,ROUNDDOWN(Assumptions!$B$20/7,0))))))+IF(Assumptions!$B$20/7&gt;ROUNDDOWN(Assumptions!$B$20/7,0),IF(COLUMN(V$4)-3&lt;ROUNDDOWN(Assumptions!$B$20/7,0)+1,0,SUM(OFFSET(Forecast!$B$7,0,MAX(1,COLUMN(V$4)-COLUMN($C$4)-ROUNDDOWN(Assumptions!$B$20/7,0)),1,1),OFFSET(Forecast!$B$12,0,MAX(1,COLUMN(V$4)-COLUMN($C$4)-ROUNDDOWN(Assumptions!$B$20/7,0)),ROW(Forecast!$B$36)-ROW(Forecast!$B$12),1))/7*(Assumptions!$B$20-(ROUNDDOWN(Assumptions!$B$20/7,0)*7))),0)</f>
        <v>158714.85714285713</v>
      </c>
      <c r="W17" s="25">
        <f ca="1">IF(ROUNDDOWN(Assumptions!$B$20/7,0)=0,0,IF(COLUMN(W$4)-3&lt;=ROUNDDOWN(Assumptions!$B$20/7,0),SUM(OFFSET(Forecast!$B$7,0,MAX(1,COLUMN(W$4)-COLUMN($C$4)-ROUNDDOWN(Assumptions!$B$20/7,0)+1),1,MIN(COLUMN(W$4)-3,ROUNDDOWN(Assumptions!$B$20/7,0))),OFFSET(Forecast!$B$12,0,MAX(1,COLUMN(W$4)-COLUMN($C$4)-ROUNDDOWN(Assumptions!$B$20/7,0)+1),ROW(Forecast!$B$36)-ROW(Forecast!$B$12),MIN(COLUMN(W$4)-3,ROUNDDOWN(Assumptions!$B$20/7,0))))/(MIN(COLUMN(W$4)-3,ROUNDDOWN(Assumptions!$B$20/7,0))*7)*Assumptions!$B$20,SUM(OFFSET(Forecast!$B$7,0,MAX(1,COLUMN(W$4)-COLUMN($C$4)-ROUNDDOWN(Assumptions!$B$20/7,0)+1),1,MIN(COLUMN(W$4)-3,ROUNDDOWN(Assumptions!$B$20/7,0))),OFFSET(Forecast!$B$12,0,MAX(1,COLUMN(W$4)-COLUMN($C$4)-ROUNDDOWN(Assumptions!$B$20/7,0)+1),ROW(Forecast!$B$36)-ROW(Forecast!$B$12),MIN(COLUMN(W$4)-3,ROUNDDOWN(Assumptions!$B$20/7,0))))))+IF(Assumptions!$B$20/7&gt;ROUNDDOWN(Assumptions!$B$20/7,0),IF(COLUMN(W$4)-3&lt;ROUNDDOWN(Assumptions!$B$20/7,0)+1,0,SUM(OFFSET(Forecast!$B$7,0,MAX(1,COLUMN(W$4)-COLUMN($C$4)-ROUNDDOWN(Assumptions!$B$20/7,0)),1,1),OFFSET(Forecast!$B$12,0,MAX(1,COLUMN(W$4)-COLUMN($C$4)-ROUNDDOWN(Assumptions!$B$20/7,0)),ROW(Forecast!$B$36)-ROW(Forecast!$B$12),1))/7*(Assumptions!$B$20-(ROUNDDOWN(Assumptions!$B$20/7,0)*7))),0)</f>
        <v>143844.5</v>
      </c>
      <c r="X17" s="25">
        <f ca="1">IF(ROUNDDOWN(Assumptions!$B$20/7,0)=0,0,IF(COLUMN(X$4)-3&lt;=ROUNDDOWN(Assumptions!$B$20/7,0),SUM(OFFSET(Forecast!$B$7,0,MAX(1,COLUMN(X$4)-COLUMN($C$4)-ROUNDDOWN(Assumptions!$B$20/7,0)+1),1,MIN(COLUMN(X$4)-3,ROUNDDOWN(Assumptions!$B$20/7,0))),OFFSET(Forecast!$B$12,0,MAX(1,COLUMN(X$4)-COLUMN($C$4)-ROUNDDOWN(Assumptions!$B$20/7,0)+1),ROW(Forecast!$B$36)-ROW(Forecast!$B$12),MIN(COLUMN(X$4)-3,ROUNDDOWN(Assumptions!$B$20/7,0))))/(MIN(COLUMN(X$4)-3,ROUNDDOWN(Assumptions!$B$20/7,0))*7)*Assumptions!$B$20,SUM(OFFSET(Forecast!$B$7,0,MAX(1,COLUMN(X$4)-COLUMN($C$4)-ROUNDDOWN(Assumptions!$B$20/7,0)+1),1,MIN(COLUMN(X$4)-3,ROUNDDOWN(Assumptions!$B$20/7,0))),OFFSET(Forecast!$B$12,0,MAX(1,COLUMN(X$4)-COLUMN($C$4)-ROUNDDOWN(Assumptions!$B$20/7,0)+1),ROW(Forecast!$B$36)-ROW(Forecast!$B$12),MIN(COLUMN(X$4)-3,ROUNDDOWN(Assumptions!$B$20/7,0))))))+IF(Assumptions!$B$20/7&gt;ROUNDDOWN(Assumptions!$B$20/7,0),IF(COLUMN(X$4)-3&lt;ROUNDDOWN(Assumptions!$B$20/7,0)+1,0,SUM(OFFSET(Forecast!$B$7,0,MAX(1,COLUMN(X$4)-COLUMN($C$4)-ROUNDDOWN(Assumptions!$B$20/7,0)),1,1),OFFSET(Forecast!$B$12,0,MAX(1,COLUMN(X$4)-COLUMN($C$4)-ROUNDDOWN(Assumptions!$B$20/7,0)),ROW(Forecast!$B$36)-ROW(Forecast!$B$12),1))/7*(Assumptions!$B$20-(ROUNDDOWN(Assumptions!$B$20/7,0)*7))),0)</f>
        <v>134111.35714285713</v>
      </c>
      <c r="Y17" s="25">
        <f ca="1">IF(ROUNDDOWN(Assumptions!$B$20/7,0)=0,0,IF(COLUMN(Y$4)-3&lt;=ROUNDDOWN(Assumptions!$B$20/7,0),SUM(OFFSET(Forecast!$B$7,0,MAX(1,COLUMN(Y$4)-COLUMN($C$4)-ROUNDDOWN(Assumptions!$B$20/7,0)+1),1,MIN(COLUMN(Y$4)-3,ROUNDDOWN(Assumptions!$B$20/7,0))),OFFSET(Forecast!$B$12,0,MAX(1,COLUMN(Y$4)-COLUMN($C$4)-ROUNDDOWN(Assumptions!$B$20/7,0)+1),ROW(Forecast!$B$36)-ROW(Forecast!$B$12),MIN(COLUMN(Y$4)-3,ROUNDDOWN(Assumptions!$B$20/7,0))))/(MIN(COLUMN(Y$4)-3,ROUNDDOWN(Assumptions!$B$20/7,0))*7)*Assumptions!$B$20,SUM(OFFSET(Forecast!$B$7,0,MAX(1,COLUMN(Y$4)-COLUMN($C$4)-ROUNDDOWN(Assumptions!$B$20/7,0)+1),1,MIN(COLUMN(Y$4)-3,ROUNDDOWN(Assumptions!$B$20/7,0))),OFFSET(Forecast!$B$12,0,MAX(1,COLUMN(Y$4)-COLUMN($C$4)-ROUNDDOWN(Assumptions!$B$20/7,0)+1),ROW(Forecast!$B$36)-ROW(Forecast!$B$12),MIN(COLUMN(Y$4)-3,ROUNDDOWN(Assumptions!$B$20/7,0))))))+IF(Assumptions!$B$20/7&gt;ROUNDDOWN(Assumptions!$B$20/7,0),IF(COLUMN(Y$4)-3&lt;ROUNDDOWN(Assumptions!$B$20/7,0)+1,0,SUM(OFFSET(Forecast!$B$7,0,MAX(1,COLUMN(Y$4)-COLUMN($C$4)-ROUNDDOWN(Assumptions!$B$20/7,0)),1,1),OFFSET(Forecast!$B$12,0,MAX(1,COLUMN(Y$4)-COLUMN($C$4)-ROUNDDOWN(Assumptions!$B$20/7,0)),ROW(Forecast!$B$36)-ROW(Forecast!$B$12),1))/7*(Assumptions!$B$20-(ROUNDDOWN(Assumptions!$B$20/7,0)*7))),0)</f>
        <v>143989.28571428571</v>
      </c>
      <c r="Z17" s="25">
        <f ca="1">IF(ROUNDDOWN(Assumptions!$B$20/7,0)=0,0,IF(COLUMN(Z$4)-3&lt;=ROUNDDOWN(Assumptions!$B$20/7,0),SUM(OFFSET(Forecast!$B$7,0,MAX(1,COLUMN(Z$4)-COLUMN($C$4)-ROUNDDOWN(Assumptions!$B$20/7,0)+1),1,MIN(COLUMN(Z$4)-3,ROUNDDOWN(Assumptions!$B$20/7,0))),OFFSET(Forecast!$B$12,0,MAX(1,COLUMN(Z$4)-COLUMN($C$4)-ROUNDDOWN(Assumptions!$B$20/7,0)+1),ROW(Forecast!$B$36)-ROW(Forecast!$B$12),MIN(COLUMN(Z$4)-3,ROUNDDOWN(Assumptions!$B$20/7,0))))/(MIN(COLUMN(Z$4)-3,ROUNDDOWN(Assumptions!$B$20/7,0))*7)*Assumptions!$B$20,SUM(OFFSET(Forecast!$B$7,0,MAX(1,COLUMN(Z$4)-COLUMN($C$4)-ROUNDDOWN(Assumptions!$B$20/7,0)+1),1,MIN(COLUMN(Z$4)-3,ROUNDDOWN(Assumptions!$B$20/7,0))),OFFSET(Forecast!$B$12,0,MAX(1,COLUMN(Z$4)-COLUMN($C$4)-ROUNDDOWN(Assumptions!$B$20/7,0)+1),ROW(Forecast!$B$36)-ROW(Forecast!$B$12),MIN(COLUMN(Z$4)-3,ROUNDDOWN(Assumptions!$B$20/7,0))))))+IF(Assumptions!$B$20/7&gt;ROUNDDOWN(Assumptions!$B$20/7,0),IF(COLUMN(Z$4)-3&lt;ROUNDDOWN(Assumptions!$B$20/7,0)+1,0,SUM(OFFSET(Forecast!$B$7,0,MAX(1,COLUMN(Z$4)-COLUMN($C$4)-ROUNDDOWN(Assumptions!$B$20/7,0)),1,1),OFFSET(Forecast!$B$12,0,MAX(1,COLUMN(Z$4)-COLUMN($C$4)-ROUNDDOWN(Assumptions!$B$20/7,0)),ROW(Forecast!$B$36)-ROW(Forecast!$B$12),1))/7*(Assumptions!$B$20-(ROUNDDOWN(Assumptions!$B$20/7,0)*7))),0)</f>
        <v>151064.28571428571</v>
      </c>
      <c r="AA17" s="25">
        <f ca="1">IF(ROUNDDOWN(Assumptions!$B$20/7,0)=0,0,IF(COLUMN(AA$4)-3&lt;=ROUNDDOWN(Assumptions!$B$20/7,0),SUM(OFFSET(Forecast!$B$7,0,MAX(1,COLUMN(AA$4)-COLUMN($C$4)-ROUNDDOWN(Assumptions!$B$20/7,0)+1),1,MIN(COLUMN(AA$4)-3,ROUNDDOWN(Assumptions!$B$20/7,0))),OFFSET(Forecast!$B$12,0,MAX(1,COLUMN(AA$4)-COLUMN($C$4)-ROUNDDOWN(Assumptions!$B$20/7,0)+1),ROW(Forecast!$B$36)-ROW(Forecast!$B$12),MIN(COLUMN(AA$4)-3,ROUNDDOWN(Assumptions!$B$20/7,0))))/(MIN(COLUMN(AA$4)-3,ROUNDDOWN(Assumptions!$B$20/7,0))*7)*Assumptions!$B$20,SUM(OFFSET(Forecast!$B$7,0,MAX(1,COLUMN(AA$4)-COLUMN($C$4)-ROUNDDOWN(Assumptions!$B$20/7,0)+1),1,MIN(COLUMN(AA$4)-3,ROUNDDOWN(Assumptions!$B$20/7,0))),OFFSET(Forecast!$B$12,0,MAX(1,COLUMN(AA$4)-COLUMN($C$4)-ROUNDDOWN(Assumptions!$B$20/7,0)+1),ROW(Forecast!$B$36)-ROW(Forecast!$B$12),MIN(COLUMN(AA$4)-3,ROUNDDOWN(Assumptions!$B$20/7,0))))))+IF(Assumptions!$B$20/7&gt;ROUNDDOWN(Assumptions!$B$20/7,0),IF(COLUMN(AA$4)-3&lt;ROUNDDOWN(Assumptions!$B$20/7,0)+1,0,SUM(OFFSET(Forecast!$B$7,0,MAX(1,COLUMN(AA$4)-COLUMN($C$4)-ROUNDDOWN(Assumptions!$B$20/7,0)),1,1),OFFSET(Forecast!$B$12,0,MAX(1,COLUMN(AA$4)-COLUMN($C$4)-ROUNDDOWN(Assumptions!$B$20/7,0)),ROW(Forecast!$B$36)-ROW(Forecast!$B$12),1))/7*(Assumptions!$B$20-(ROUNDDOWN(Assumptions!$B$20/7,0)*7))),0)</f>
        <v>155640</v>
      </c>
      <c r="AB17" s="25">
        <f ca="1">IF(ROUNDDOWN(Assumptions!$B$20/7,0)=0,0,IF(COLUMN(AB$4)-3&lt;=ROUNDDOWN(Assumptions!$B$20/7,0),SUM(OFFSET(Forecast!$B$7,0,MAX(1,COLUMN(AB$4)-COLUMN($C$4)-ROUNDDOWN(Assumptions!$B$20/7,0)+1),1,MIN(COLUMN(AB$4)-3,ROUNDDOWN(Assumptions!$B$20/7,0))),OFFSET(Forecast!$B$12,0,MAX(1,COLUMN(AB$4)-COLUMN($C$4)-ROUNDDOWN(Assumptions!$B$20/7,0)+1),ROW(Forecast!$B$36)-ROW(Forecast!$B$12),MIN(COLUMN(AB$4)-3,ROUNDDOWN(Assumptions!$B$20/7,0))))/(MIN(COLUMN(AB$4)-3,ROUNDDOWN(Assumptions!$B$20/7,0))*7)*Assumptions!$B$20,SUM(OFFSET(Forecast!$B$7,0,MAX(1,COLUMN(AB$4)-COLUMN($C$4)-ROUNDDOWN(Assumptions!$B$20/7,0)+1),1,MIN(COLUMN(AB$4)-3,ROUNDDOWN(Assumptions!$B$20/7,0))),OFFSET(Forecast!$B$12,0,MAX(1,COLUMN(AB$4)-COLUMN($C$4)-ROUNDDOWN(Assumptions!$B$20/7,0)+1),ROW(Forecast!$B$36)-ROW(Forecast!$B$12),MIN(COLUMN(AB$4)-3,ROUNDDOWN(Assumptions!$B$20/7,0))))))+IF(Assumptions!$B$20/7&gt;ROUNDDOWN(Assumptions!$B$20/7,0),IF(COLUMN(AB$4)-3&lt;ROUNDDOWN(Assumptions!$B$20/7,0)+1,0,SUM(OFFSET(Forecast!$B$7,0,MAX(1,COLUMN(AB$4)-COLUMN($C$4)-ROUNDDOWN(Assumptions!$B$20/7,0)),1,1),OFFSET(Forecast!$B$12,0,MAX(1,COLUMN(AB$4)-COLUMN($C$4)-ROUNDDOWN(Assumptions!$B$20/7,0)),ROW(Forecast!$B$36)-ROW(Forecast!$B$12),1))/7*(Assumptions!$B$20-(ROUNDDOWN(Assumptions!$B$20/7,0)*7))),0)</f>
        <v>146757.14285714287</v>
      </c>
      <c r="AC17" s="25">
        <f ca="1">IF(ROUNDDOWN(Assumptions!$B$20/7,0)=0,0,IF(COLUMN(AC$4)-3&lt;=ROUNDDOWN(Assumptions!$B$20/7,0),SUM(OFFSET(Forecast!$B$7,0,MAX(1,COLUMN(AC$4)-COLUMN($C$4)-ROUNDDOWN(Assumptions!$B$20/7,0)+1),1,MIN(COLUMN(AC$4)-3,ROUNDDOWN(Assumptions!$B$20/7,0))),OFFSET(Forecast!$B$12,0,MAX(1,COLUMN(AC$4)-COLUMN($C$4)-ROUNDDOWN(Assumptions!$B$20/7,0)+1),ROW(Forecast!$B$36)-ROW(Forecast!$B$12),MIN(COLUMN(AC$4)-3,ROUNDDOWN(Assumptions!$B$20/7,0))))/(MIN(COLUMN(AC$4)-3,ROUNDDOWN(Assumptions!$B$20/7,0))*7)*Assumptions!$B$20,SUM(OFFSET(Forecast!$B$7,0,MAX(1,COLUMN(AC$4)-COLUMN($C$4)-ROUNDDOWN(Assumptions!$B$20/7,0)+1),1,MIN(COLUMN(AC$4)-3,ROUNDDOWN(Assumptions!$B$20/7,0))),OFFSET(Forecast!$B$12,0,MAX(1,COLUMN(AC$4)-COLUMN($C$4)-ROUNDDOWN(Assumptions!$B$20/7,0)+1),ROW(Forecast!$B$36)-ROW(Forecast!$B$12),MIN(COLUMN(AC$4)-3,ROUNDDOWN(Assumptions!$B$20/7,0))))))+IF(Assumptions!$B$20/7&gt;ROUNDDOWN(Assumptions!$B$20/7,0),IF(COLUMN(AC$4)-3&lt;ROUNDDOWN(Assumptions!$B$20/7,0)+1,0,SUM(OFFSET(Forecast!$B$7,0,MAX(1,COLUMN(AC$4)-COLUMN($C$4)-ROUNDDOWN(Assumptions!$B$20/7,0)),1,1),OFFSET(Forecast!$B$12,0,MAX(1,COLUMN(AC$4)-COLUMN($C$4)-ROUNDDOWN(Assumptions!$B$20/7,0)),ROW(Forecast!$B$36)-ROW(Forecast!$B$12),1))/7*(Assumptions!$B$20-(ROUNDDOWN(Assumptions!$B$20/7,0)*7))),0)</f>
        <v>154044.64285714287</v>
      </c>
      <c r="AD17" s="25">
        <f ca="1">IF(ROUNDDOWN(Assumptions!$B$20/7,0)=0,0,IF(COLUMN(AD$4)-3&lt;=ROUNDDOWN(Assumptions!$B$20/7,0),SUM(OFFSET(Forecast!$B$7,0,MAX(1,COLUMN(AD$4)-COLUMN($C$4)-ROUNDDOWN(Assumptions!$B$20/7,0)+1),1,MIN(COLUMN(AD$4)-3,ROUNDDOWN(Assumptions!$B$20/7,0))),OFFSET(Forecast!$B$12,0,MAX(1,COLUMN(AD$4)-COLUMN($C$4)-ROUNDDOWN(Assumptions!$B$20/7,0)+1),ROW(Forecast!$B$36)-ROW(Forecast!$B$12),MIN(COLUMN(AD$4)-3,ROUNDDOWN(Assumptions!$B$20/7,0))))/(MIN(COLUMN(AD$4)-3,ROUNDDOWN(Assumptions!$B$20/7,0))*7)*Assumptions!$B$20,SUM(OFFSET(Forecast!$B$7,0,MAX(1,COLUMN(AD$4)-COLUMN($C$4)-ROUNDDOWN(Assumptions!$B$20/7,0)+1),1,MIN(COLUMN(AD$4)-3,ROUNDDOWN(Assumptions!$B$20/7,0))),OFFSET(Forecast!$B$12,0,MAX(1,COLUMN(AD$4)-COLUMN($C$4)-ROUNDDOWN(Assumptions!$B$20/7,0)+1),ROW(Forecast!$B$36)-ROW(Forecast!$B$12),MIN(COLUMN(AD$4)-3,ROUNDDOWN(Assumptions!$B$20/7,0))))))+IF(Assumptions!$B$20/7&gt;ROUNDDOWN(Assumptions!$B$20/7,0),IF(COLUMN(AD$4)-3&lt;ROUNDDOWN(Assumptions!$B$20/7,0)+1,0,SUM(OFFSET(Forecast!$B$7,0,MAX(1,COLUMN(AD$4)-COLUMN($C$4)-ROUNDDOWN(Assumptions!$B$20/7,0)),1,1),OFFSET(Forecast!$B$12,0,MAX(1,COLUMN(AD$4)-COLUMN($C$4)-ROUNDDOWN(Assumptions!$B$20/7,0)),ROW(Forecast!$B$36)-ROW(Forecast!$B$12),1))/7*(Assumptions!$B$20-(ROUNDDOWN(Assumptions!$B$20/7,0)*7))),0)</f>
        <v>163058.21428571429</v>
      </c>
      <c r="AE17" s="25">
        <f ca="1">IF(ROUNDDOWN(Assumptions!$B$20/7,0)=0,0,IF(COLUMN(AE$4)-3&lt;=ROUNDDOWN(Assumptions!$B$20/7,0),SUM(OFFSET(Forecast!$B$7,0,MAX(1,COLUMN(AE$4)-COLUMN($C$4)-ROUNDDOWN(Assumptions!$B$20/7,0)+1),1,MIN(COLUMN(AE$4)-3,ROUNDDOWN(Assumptions!$B$20/7,0))),OFFSET(Forecast!$B$12,0,MAX(1,COLUMN(AE$4)-COLUMN($C$4)-ROUNDDOWN(Assumptions!$B$20/7,0)+1),ROW(Forecast!$B$36)-ROW(Forecast!$B$12),MIN(COLUMN(AE$4)-3,ROUNDDOWN(Assumptions!$B$20/7,0))))/(MIN(COLUMN(AE$4)-3,ROUNDDOWN(Assumptions!$B$20/7,0))*7)*Assumptions!$B$20,SUM(OFFSET(Forecast!$B$7,0,MAX(1,COLUMN(AE$4)-COLUMN($C$4)-ROUNDDOWN(Assumptions!$B$20/7,0)+1),1,MIN(COLUMN(AE$4)-3,ROUNDDOWN(Assumptions!$B$20/7,0))),OFFSET(Forecast!$B$12,0,MAX(1,COLUMN(AE$4)-COLUMN($C$4)-ROUNDDOWN(Assumptions!$B$20/7,0)+1),ROW(Forecast!$B$36)-ROW(Forecast!$B$12),MIN(COLUMN(AE$4)-3,ROUNDDOWN(Assumptions!$B$20/7,0))))))+IF(Assumptions!$B$20/7&gt;ROUNDDOWN(Assumptions!$B$20/7,0),IF(COLUMN(AE$4)-3&lt;ROUNDDOWN(Assumptions!$B$20/7,0)+1,0,SUM(OFFSET(Forecast!$B$7,0,MAX(1,COLUMN(AE$4)-COLUMN($C$4)-ROUNDDOWN(Assumptions!$B$20/7,0)),1,1),OFFSET(Forecast!$B$12,0,MAX(1,COLUMN(AE$4)-COLUMN($C$4)-ROUNDDOWN(Assumptions!$B$20/7,0)),ROW(Forecast!$B$36)-ROW(Forecast!$B$12),1))/7*(Assumptions!$B$20-(ROUNDDOWN(Assumptions!$B$20/7,0)*7))),0)</f>
        <v>147481.07142857142</v>
      </c>
      <c r="AF17" s="25">
        <f ca="1">IF(ROUNDDOWN(Assumptions!$B$20/7,0)=0,0,IF(COLUMN(AF$4)-3&lt;=ROUNDDOWN(Assumptions!$B$20/7,0),SUM(OFFSET(Forecast!$B$7,0,MAX(1,COLUMN(AF$4)-COLUMN($C$4)-ROUNDDOWN(Assumptions!$B$20/7,0)+1),1,MIN(COLUMN(AF$4)-3,ROUNDDOWN(Assumptions!$B$20/7,0))),OFFSET(Forecast!$B$12,0,MAX(1,COLUMN(AF$4)-COLUMN($C$4)-ROUNDDOWN(Assumptions!$B$20/7,0)+1),ROW(Forecast!$B$36)-ROW(Forecast!$B$12),MIN(COLUMN(AF$4)-3,ROUNDDOWN(Assumptions!$B$20/7,0))))/(MIN(COLUMN(AF$4)-3,ROUNDDOWN(Assumptions!$B$20/7,0))*7)*Assumptions!$B$20,SUM(OFFSET(Forecast!$B$7,0,MAX(1,COLUMN(AF$4)-COLUMN($C$4)-ROUNDDOWN(Assumptions!$B$20/7,0)+1),1,MIN(COLUMN(AF$4)-3,ROUNDDOWN(Assumptions!$B$20/7,0))),OFFSET(Forecast!$B$12,0,MAX(1,COLUMN(AF$4)-COLUMN($C$4)-ROUNDDOWN(Assumptions!$B$20/7,0)+1),ROW(Forecast!$B$36)-ROW(Forecast!$B$12),MIN(COLUMN(AF$4)-3,ROUNDDOWN(Assumptions!$B$20/7,0))))))+IF(Assumptions!$B$20/7&gt;ROUNDDOWN(Assumptions!$B$20/7,0),IF(COLUMN(AF$4)-3&lt;ROUNDDOWN(Assumptions!$B$20/7,0)+1,0,SUM(OFFSET(Forecast!$B$7,0,MAX(1,COLUMN(AF$4)-COLUMN($C$4)-ROUNDDOWN(Assumptions!$B$20/7,0)),1,1),OFFSET(Forecast!$B$12,0,MAX(1,COLUMN(AF$4)-COLUMN($C$4)-ROUNDDOWN(Assumptions!$B$20/7,0)),ROW(Forecast!$B$36)-ROW(Forecast!$B$12),1))/7*(Assumptions!$B$20-(ROUNDDOWN(Assumptions!$B$20/7,0)*7))),0)</f>
        <v>136607.14285714287</v>
      </c>
      <c r="AG17" s="25">
        <f ca="1">IF(ROUNDDOWN(Assumptions!$B$20/7,0)=0,0,IF(COLUMN(AG$4)-3&lt;=ROUNDDOWN(Assumptions!$B$20/7,0),SUM(OFFSET(Forecast!$B$7,0,MAX(1,COLUMN(AG$4)-COLUMN($C$4)-ROUNDDOWN(Assumptions!$B$20/7,0)+1),1,MIN(COLUMN(AG$4)-3,ROUNDDOWN(Assumptions!$B$20/7,0))),OFFSET(Forecast!$B$12,0,MAX(1,COLUMN(AG$4)-COLUMN($C$4)-ROUNDDOWN(Assumptions!$B$20/7,0)+1),ROW(Forecast!$B$36)-ROW(Forecast!$B$12),MIN(COLUMN(AG$4)-3,ROUNDDOWN(Assumptions!$B$20/7,0))))/(MIN(COLUMN(AG$4)-3,ROUNDDOWN(Assumptions!$B$20/7,0))*7)*Assumptions!$B$20,SUM(OFFSET(Forecast!$B$7,0,MAX(1,COLUMN(AG$4)-COLUMN($C$4)-ROUNDDOWN(Assumptions!$B$20/7,0)+1),1,MIN(COLUMN(AG$4)-3,ROUNDDOWN(Assumptions!$B$20/7,0))),OFFSET(Forecast!$B$12,0,MAX(1,COLUMN(AG$4)-COLUMN($C$4)-ROUNDDOWN(Assumptions!$B$20/7,0)+1),ROW(Forecast!$B$36)-ROW(Forecast!$B$12),MIN(COLUMN(AG$4)-3,ROUNDDOWN(Assumptions!$B$20/7,0))))))+IF(Assumptions!$B$20/7&gt;ROUNDDOWN(Assumptions!$B$20/7,0),IF(COLUMN(AG$4)-3&lt;ROUNDDOWN(Assumptions!$B$20/7,0)+1,0,SUM(OFFSET(Forecast!$B$7,0,MAX(1,COLUMN(AG$4)-COLUMN($C$4)-ROUNDDOWN(Assumptions!$B$20/7,0)),1,1),OFFSET(Forecast!$B$12,0,MAX(1,COLUMN(AG$4)-COLUMN($C$4)-ROUNDDOWN(Assumptions!$B$20/7,0)),ROW(Forecast!$B$36)-ROW(Forecast!$B$12),1))/7*(Assumptions!$B$20-(ROUNDDOWN(Assumptions!$B$20/7,0)*7))),0)</f>
        <v>131396.85714285713</v>
      </c>
      <c r="AH17" s="25">
        <f ca="1">IF(ROUNDDOWN(Assumptions!$B$20/7,0)=0,0,IF(COLUMN(AH$4)-3&lt;=ROUNDDOWN(Assumptions!$B$20/7,0),SUM(OFFSET(Forecast!$B$7,0,MAX(1,COLUMN(AH$4)-COLUMN($C$4)-ROUNDDOWN(Assumptions!$B$20/7,0)+1),1,MIN(COLUMN(AH$4)-3,ROUNDDOWN(Assumptions!$B$20/7,0))),OFFSET(Forecast!$B$12,0,MAX(1,COLUMN(AH$4)-COLUMN($C$4)-ROUNDDOWN(Assumptions!$B$20/7,0)+1),ROW(Forecast!$B$36)-ROW(Forecast!$B$12),MIN(COLUMN(AH$4)-3,ROUNDDOWN(Assumptions!$B$20/7,0))))/(MIN(COLUMN(AH$4)-3,ROUNDDOWN(Assumptions!$B$20/7,0))*7)*Assumptions!$B$20,SUM(OFFSET(Forecast!$B$7,0,MAX(1,COLUMN(AH$4)-COLUMN($C$4)-ROUNDDOWN(Assumptions!$B$20/7,0)+1),1,MIN(COLUMN(AH$4)-3,ROUNDDOWN(Assumptions!$B$20/7,0))),OFFSET(Forecast!$B$12,0,MAX(1,COLUMN(AH$4)-COLUMN($C$4)-ROUNDDOWN(Assumptions!$B$20/7,0)+1),ROW(Forecast!$B$36)-ROW(Forecast!$B$12),MIN(COLUMN(AH$4)-3,ROUNDDOWN(Assumptions!$B$20/7,0))))))+IF(Assumptions!$B$20/7&gt;ROUNDDOWN(Assumptions!$B$20/7,0),IF(COLUMN(AH$4)-3&lt;ROUNDDOWN(Assumptions!$B$20/7,0)+1,0,SUM(OFFSET(Forecast!$B$7,0,MAX(1,COLUMN(AH$4)-COLUMN($C$4)-ROUNDDOWN(Assumptions!$B$20/7,0)),1,1),OFFSET(Forecast!$B$12,0,MAX(1,COLUMN(AH$4)-COLUMN($C$4)-ROUNDDOWN(Assumptions!$B$20/7,0)),ROW(Forecast!$B$36)-ROW(Forecast!$B$12),1))/7*(Assumptions!$B$20-(ROUNDDOWN(Assumptions!$B$20/7,0)*7))),0)</f>
        <v>141831.85714285713</v>
      </c>
      <c r="AI17" s="25">
        <f ca="1">IF(ROUNDDOWN(Assumptions!$B$20/7,0)=0,0,IF(COLUMN(AI$4)-3&lt;=ROUNDDOWN(Assumptions!$B$20/7,0),SUM(OFFSET(Forecast!$B$7,0,MAX(1,COLUMN(AI$4)-COLUMN($C$4)-ROUNDDOWN(Assumptions!$B$20/7,0)+1),1,MIN(COLUMN(AI$4)-3,ROUNDDOWN(Assumptions!$B$20/7,0))),OFFSET(Forecast!$B$12,0,MAX(1,COLUMN(AI$4)-COLUMN($C$4)-ROUNDDOWN(Assumptions!$B$20/7,0)+1),ROW(Forecast!$B$36)-ROW(Forecast!$B$12),MIN(COLUMN(AI$4)-3,ROUNDDOWN(Assumptions!$B$20/7,0))))/(MIN(COLUMN(AI$4)-3,ROUNDDOWN(Assumptions!$B$20/7,0))*7)*Assumptions!$B$20,SUM(OFFSET(Forecast!$B$7,0,MAX(1,COLUMN(AI$4)-COLUMN($C$4)-ROUNDDOWN(Assumptions!$B$20/7,0)+1),1,MIN(COLUMN(AI$4)-3,ROUNDDOWN(Assumptions!$B$20/7,0))),OFFSET(Forecast!$B$12,0,MAX(1,COLUMN(AI$4)-COLUMN($C$4)-ROUNDDOWN(Assumptions!$B$20/7,0)+1),ROW(Forecast!$B$36)-ROW(Forecast!$B$12),MIN(COLUMN(AI$4)-3,ROUNDDOWN(Assumptions!$B$20/7,0))))))+IF(Assumptions!$B$20/7&gt;ROUNDDOWN(Assumptions!$B$20/7,0),IF(COLUMN(AI$4)-3&lt;ROUNDDOWN(Assumptions!$B$20/7,0)+1,0,SUM(OFFSET(Forecast!$B$7,0,MAX(1,COLUMN(AI$4)-COLUMN($C$4)-ROUNDDOWN(Assumptions!$B$20/7,0)),1,1),OFFSET(Forecast!$B$12,0,MAX(1,COLUMN(AI$4)-COLUMN($C$4)-ROUNDDOWN(Assumptions!$B$20/7,0)),ROW(Forecast!$B$36)-ROW(Forecast!$B$12),1))/7*(Assumptions!$B$20-(ROUNDDOWN(Assumptions!$B$20/7,0)*7))),0)</f>
        <v>164721.28571428571</v>
      </c>
      <c r="AJ17" s="25">
        <f ca="1">IF(ROUNDDOWN(Assumptions!$B$20/7,0)=0,0,IF(COLUMN(AJ$4)-3&lt;=ROUNDDOWN(Assumptions!$B$20/7,0),SUM(OFFSET(Forecast!$B$7,0,MAX(1,COLUMN(AJ$4)-COLUMN($C$4)-ROUNDDOWN(Assumptions!$B$20/7,0)+1),1,MIN(COLUMN(AJ$4)-3,ROUNDDOWN(Assumptions!$B$20/7,0))),OFFSET(Forecast!$B$12,0,MAX(1,COLUMN(AJ$4)-COLUMN($C$4)-ROUNDDOWN(Assumptions!$B$20/7,0)+1),ROW(Forecast!$B$36)-ROW(Forecast!$B$12),MIN(COLUMN(AJ$4)-3,ROUNDDOWN(Assumptions!$B$20/7,0))))/(MIN(COLUMN(AJ$4)-3,ROUNDDOWN(Assumptions!$B$20/7,0))*7)*Assumptions!$B$20,SUM(OFFSET(Forecast!$B$7,0,MAX(1,COLUMN(AJ$4)-COLUMN($C$4)-ROUNDDOWN(Assumptions!$B$20/7,0)+1),1,MIN(COLUMN(AJ$4)-3,ROUNDDOWN(Assumptions!$B$20/7,0))),OFFSET(Forecast!$B$12,0,MAX(1,COLUMN(AJ$4)-COLUMN($C$4)-ROUNDDOWN(Assumptions!$B$20/7,0)+1),ROW(Forecast!$B$36)-ROW(Forecast!$B$12),MIN(COLUMN(AJ$4)-3,ROUNDDOWN(Assumptions!$B$20/7,0))))))+IF(Assumptions!$B$20/7&gt;ROUNDDOWN(Assumptions!$B$20/7,0),IF(COLUMN(AJ$4)-3&lt;ROUNDDOWN(Assumptions!$B$20/7,0)+1,0,SUM(OFFSET(Forecast!$B$7,0,MAX(1,COLUMN(AJ$4)-COLUMN($C$4)-ROUNDDOWN(Assumptions!$B$20/7,0)),1,1),OFFSET(Forecast!$B$12,0,MAX(1,COLUMN(AJ$4)-COLUMN($C$4)-ROUNDDOWN(Assumptions!$B$20/7,0)),ROW(Forecast!$B$36)-ROW(Forecast!$B$12),1))/7*(Assumptions!$B$20-(ROUNDDOWN(Assumptions!$B$20/7,0)*7))),0)</f>
        <v>158354.71428571429</v>
      </c>
      <c r="AK17" s="25">
        <f ca="1">IF(ROUNDDOWN(Assumptions!$B$20/7,0)=0,0,IF(COLUMN(AK$4)-3&lt;=ROUNDDOWN(Assumptions!$B$20/7,0),SUM(OFFSET(Forecast!$B$7,0,MAX(1,COLUMN(AK$4)-COLUMN($C$4)-ROUNDDOWN(Assumptions!$B$20/7,0)+1),1,MIN(COLUMN(AK$4)-3,ROUNDDOWN(Assumptions!$B$20/7,0))),OFFSET(Forecast!$B$12,0,MAX(1,COLUMN(AK$4)-COLUMN($C$4)-ROUNDDOWN(Assumptions!$B$20/7,0)+1),ROW(Forecast!$B$36)-ROW(Forecast!$B$12),MIN(COLUMN(AK$4)-3,ROUNDDOWN(Assumptions!$B$20/7,0))))/(MIN(COLUMN(AK$4)-3,ROUNDDOWN(Assumptions!$B$20/7,0))*7)*Assumptions!$B$20,SUM(OFFSET(Forecast!$B$7,0,MAX(1,COLUMN(AK$4)-COLUMN($C$4)-ROUNDDOWN(Assumptions!$B$20/7,0)+1),1,MIN(COLUMN(AK$4)-3,ROUNDDOWN(Assumptions!$B$20/7,0))),OFFSET(Forecast!$B$12,0,MAX(1,COLUMN(AK$4)-COLUMN($C$4)-ROUNDDOWN(Assumptions!$B$20/7,0)+1),ROW(Forecast!$B$36)-ROW(Forecast!$B$12),MIN(COLUMN(AK$4)-3,ROUNDDOWN(Assumptions!$B$20/7,0))))))+IF(Assumptions!$B$20/7&gt;ROUNDDOWN(Assumptions!$B$20/7,0),IF(COLUMN(AK$4)-3&lt;ROUNDDOWN(Assumptions!$B$20/7,0)+1,0,SUM(OFFSET(Forecast!$B$7,0,MAX(1,COLUMN(AK$4)-COLUMN($C$4)-ROUNDDOWN(Assumptions!$B$20/7,0)),1,1),OFFSET(Forecast!$B$12,0,MAX(1,COLUMN(AK$4)-COLUMN($C$4)-ROUNDDOWN(Assumptions!$B$20/7,0)),ROW(Forecast!$B$36)-ROW(Forecast!$B$12),1))/7*(Assumptions!$B$20-(ROUNDDOWN(Assumptions!$B$20/7,0)*7))),0)</f>
        <v>163442.57142857142</v>
      </c>
      <c r="AL17" s="25">
        <f ca="1">IF(ROUNDDOWN(Assumptions!$B$20/7,0)=0,0,IF(COLUMN(AL$4)-3&lt;=ROUNDDOWN(Assumptions!$B$20/7,0),SUM(OFFSET(Forecast!$B$7,0,MAX(1,COLUMN(AL$4)-COLUMN($C$4)-ROUNDDOWN(Assumptions!$B$20/7,0)+1),1,MIN(COLUMN(AL$4)-3,ROUNDDOWN(Assumptions!$B$20/7,0))),OFFSET(Forecast!$B$12,0,MAX(1,COLUMN(AL$4)-COLUMN($C$4)-ROUNDDOWN(Assumptions!$B$20/7,0)+1),ROW(Forecast!$B$36)-ROW(Forecast!$B$12),MIN(COLUMN(AL$4)-3,ROUNDDOWN(Assumptions!$B$20/7,0))))/(MIN(COLUMN(AL$4)-3,ROUNDDOWN(Assumptions!$B$20/7,0))*7)*Assumptions!$B$20,SUM(OFFSET(Forecast!$B$7,0,MAX(1,COLUMN(AL$4)-COLUMN($C$4)-ROUNDDOWN(Assumptions!$B$20/7,0)+1),1,MIN(COLUMN(AL$4)-3,ROUNDDOWN(Assumptions!$B$20/7,0))),OFFSET(Forecast!$B$12,0,MAX(1,COLUMN(AL$4)-COLUMN($C$4)-ROUNDDOWN(Assumptions!$B$20/7,0)+1),ROW(Forecast!$B$36)-ROW(Forecast!$B$12),MIN(COLUMN(AL$4)-3,ROUNDDOWN(Assumptions!$B$20/7,0))))))+IF(Assumptions!$B$20/7&gt;ROUNDDOWN(Assumptions!$B$20/7,0),IF(COLUMN(AL$4)-3&lt;ROUNDDOWN(Assumptions!$B$20/7,0)+1,0,SUM(OFFSET(Forecast!$B$7,0,MAX(1,COLUMN(AL$4)-COLUMN($C$4)-ROUNDDOWN(Assumptions!$B$20/7,0)),1,1),OFFSET(Forecast!$B$12,0,MAX(1,COLUMN(AL$4)-COLUMN($C$4)-ROUNDDOWN(Assumptions!$B$20/7,0)),ROW(Forecast!$B$36)-ROW(Forecast!$B$12),1))/7*(Assumptions!$B$20-(ROUNDDOWN(Assumptions!$B$20/7,0)*7))),0)</f>
        <v>172579.85714285713</v>
      </c>
      <c r="AM17" s="25">
        <f ca="1">IF(ROUNDDOWN(Assumptions!$B$20/7,0)=0,0,IF(COLUMN(AM$4)-3&lt;=ROUNDDOWN(Assumptions!$B$20/7,0),SUM(OFFSET(Forecast!$B$7,0,MAX(1,COLUMN(AM$4)-COLUMN($C$4)-ROUNDDOWN(Assumptions!$B$20/7,0)+1),1,MIN(COLUMN(AM$4)-3,ROUNDDOWN(Assumptions!$B$20/7,0))),OFFSET(Forecast!$B$12,0,MAX(1,COLUMN(AM$4)-COLUMN($C$4)-ROUNDDOWN(Assumptions!$B$20/7,0)+1),ROW(Forecast!$B$36)-ROW(Forecast!$B$12),MIN(COLUMN(AM$4)-3,ROUNDDOWN(Assumptions!$B$20/7,0))))/(MIN(COLUMN(AM$4)-3,ROUNDDOWN(Assumptions!$B$20/7,0))*7)*Assumptions!$B$20,SUM(OFFSET(Forecast!$B$7,0,MAX(1,COLUMN(AM$4)-COLUMN($C$4)-ROUNDDOWN(Assumptions!$B$20/7,0)+1),1,MIN(COLUMN(AM$4)-3,ROUNDDOWN(Assumptions!$B$20/7,0))),OFFSET(Forecast!$B$12,0,MAX(1,COLUMN(AM$4)-COLUMN($C$4)-ROUNDDOWN(Assumptions!$B$20/7,0)+1),ROW(Forecast!$B$36)-ROW(Forecast!$B$12),MIN(COLUMN(AM$4)-3,ROUNDDOWN(Assumptions!$B$20/7,0))))))+IF(Assumptions!$B$20/7&gt;ROUNDDOWN(Assumptions!$B$20/7,0),IF(COLUMN(AM$4)-3&lt;ROUNDDOWN(Assumptions!$B$20/7,0)+1,0,SUM(OFFSET(Forecast!$B$7,0,MAX(1,COLUMN(AM$4)-COLUMN($C$4)-ROUNDDOWN(Assumptions!$B$20/7,0)),1,1),OFFSET(Forecast!$B$12,0,MAX(1,COLUMN(AM$4)-COLUMN($C$4)-ROUNDDOWN(Assumptions!$B$20/7,0)),ROW(Forecast!$B$36)-ROW(Forecast!$B$12),1))/7*(Assumptions!$B$20-(ROUNDDOWN(Assumptions!$B$20/7,0)*7))),0)</f>
        <v>168199.28571428571</v>
      </c>
      <c r="AN17" s="25">
        <f ca="1">IF(ROUNDDOWN(Assumptions!$B$20/7,0)=0,0,IF(COLUMN(AN$4)-3&lt;=ROUNDDOWN(Assumptions!$B$20/7,0),SUM(OFFSET(Forecast!$B$7,0,MAX(1,COLUMN(AN$4)-COLUMN($C$4)-ROUNDDOWN(Assumptions!$B$20/7,0)+1),1,MIN(COLUMN(AN$4)-3,ROUNDDOWN(Assumptions!$B$20/7,0))),OFFSET(Forecast!$B$12,0,MAX(1,COLUMN(AN$4)-COLUMN($C$4)-ROUNDDOWN(Assumptions!$B$20/7,0)+1),ROW(Forecast!$B$36)-ROW(Forecast!$B$12),MIN(COLUMN(AN$4)-3,ROUNDDOWN(Assumptions!$B$20/7,0))))/(MIN(COLUMN(AN$4)-3,ROUNDDOWN(Assumptions!$B$20/7,0))*7)*Assumptions!$B$20,SUM(OFFSET(Forecast!$B$7,0,MAX(1,COLUMN(AN$4)-COLUMN($C$4)-ROUNDDOWN(Assumptions!$B$20/7,0)+1),1,MIN(COLUMN(AN$4)-3,ROUNDDOWN(Assumptions!$B$20/7,0))),OFFSET(Forecast!$B$12,0,MAX(1,COLUMN(AN$4)-COLUMN($C$4)-ROUNDDOWN(Assumptions!$B$20/7,0)+1),ROW(Forecast!$B$36)-ROW(Forecast!$B$12),MIN(COLUMN(AN$4)-3,ROUNDDOWN(Assumptions!$B$20/7,0))))))+IF(Assumptions!$B$20/7&gt;ROUNDDOWN(Assumptions!$B$20/7,0),IF(COLUMN(AN$4)-3&lt;ROUNDDOWN(Assumptions!$B$20/7,0)+1,0,SUM(OFFSET(Forecast!$B$7,0,MAX(1,COLUMN(AN$4)-COLUMN($C$4)-ROUNDDOWN(Assumptions!$B$20/7,0)),1,1),OFFSET(Forecast!$B$12,0,MAX(1,COLUMN(AN$4)-COLUMN($C$4)-ROUNDDOWN(Assumptions!$B$20/7,0)),ROW(Forecast!$B$36)-ROW(Forecast!$B$12),1))/7*(Assumptions!$B$20-(ROUNDDOWN(Assumptions!$B$20/7,0)*7))),0)</f>
        <v>154962.14285714287</v>
      </c>
      <c r="AO17" s="25">
        <f ca="1">IF(ROUNDDOWN(Assumptions!$B$20/7,0)=0,0,IF(COLUMN(AO$4)-3&lt;=ROUNDDOWN(Assumptions!$B$20/7,0),SUM(OFFSET(Forecast!$B$7,0,MAX(1,COLUMN(AO$4)-COLUMN($C$4)-ROUNDDOWN(Assumptions!$B$20/7,0)+1),1,MIN(COLUMN(AO$4)-3,ROUNDDOWN(Assumptions!$B$20/7,0))),OFFSET(Forecast!$B$12,0,MAX(1,COLUMN(AO$4)-COLUMN($C$4)-ROUNDDOWN(Assumptions!$B$20/7,0)+1),ROW(Forecast!$B$36)-ROW(Forecast!$B$12),MIN(COLUMN(AO$4)-3,ROUNDDOWN(Assumptions!$B$20/7,0))))/(MIN(COLUMN(AO$4)-3,ROUNDDOWN(Assumptions!$B$20/7,0))*7)*Assumptions!$B$20,SUM(OFFSET(Forecast!$B$7,0,MAX(1,COLUMN(AO$4)-COLUMN($C$4)-ROUNDDOWN(Assumptions!$B$20/7,0)+1),1,MIN(COLUMN(AO$4)-3,ROUNDDOWN(Assumptions!$B$20/7,0))),OFFSET(Forecast!$B$12,0,MAX(1,COLUMN(AO$4)-COLUMN($C$4)-ROUNDDOWN(Assumptions!$B$20/7,0)+1),ROW(Forecast!$B$36)-ROW(Forecast!$B$12),MIN(COLUMN(AO$4)-3,ROUNDDOWN(Assumptions!$B$20/7,0))))))+IF(Assumptions!$B$20/7&gt;ROUNDDOWN(Assumptions!$B$20/7,0),IF(COLUMN(AO$4)-3&lt;ROUNDDOWN(Assumptions!$B$20/7,0)+1,0,SUM(OFFSET(Forecast!$B$7,0,MAX(1,COLUMN(AO$4)-COLUMN($C$4)-ROUNDDOWN(Assumptions!$B$20/7,0)),1,1),OFFSET(Forecast!$B$12,0,MAX(1,COLUMN(AO$4)-COLUMN($C$4)-ROUNDDOWN(Assumptions!$B$20/7,0)),ROW(Forecast!$B$36)-ROW(Forecast!$B$12),1))/7*(Assumptions!$B$20-(ROUNDDOWN(Assumptions!$B$20/7,0)*7))),0)</f>
        <v>142500</v>
      </c>
      <c r="AP17" s="25">
        <f ca="1">IF(ROUNDDOWN(Assumptions!$B$20/7,0)=0,0,IF(COLUMN(AP$4)-3&lt;=ROUNDDOWN(Assumptions!$B$20/7,0),SUM(OFFSET(Forecast!$B$7,0,MAX(1,COLUMN(AP$4)-COLUMN($C$4)-ROUNDDOWN(Assumptions!$B$20/7,0)+1),1,MIN(COLUMN(AP$4)-3,ROUNDDOWN(Assumptions!$B$20/7,0))),OFFSET(Forecast!$B$12,0,MAX(1,COLUMN(AP$4)-COLUMN($C$4)-ROUNDDOWN(Assumptions!$B$20/7,0)+1),ROW(Forecast!$B$36)-ROW(Forecast!$B$12),MIN(COLUMN(AP$4)-3,ROUNDDOWN(Assumptions!$B$20/7,0))))/(MIN(COLUMN(AP$4)-3,ROUNDDOWN(Assumptions!$B$20/7,0))*7)*Assumptions!$B$20,SUM(OFFSET(Forecast!$B$7,0,MAX(1,COLUMN(AP$4)-COLUMN($C$4)-ROUNDDOWN(Assumptions!$B$20/7,0)+1),1,MIN(COLUMN(AP$4)-3,ROUNDDOWN(Assumptions!$B$20/7,0))),OFFSET(Forecast!$B$12,0,MAX(1,COLUMN(AP$4)-COLUMN($C$4)-ROUNDDOWN(Assumptions!$B$20/7,0)+1),ROW(Forecast!$B$36)-ROW(Forecast!$B$12),MIN(COLUMN(AP$4)-3,ROUNDDOWN(Assumptions!$B$20/7,0))))))+IF(Assumptions!$B$20/7&gt;ROUNDDOWN(Assumptions!$B$20/7,0),IF(COLUMN(AP$4)-3&lt;ROUNDDOWN(Assumptions!$B$20/7,0)+1,0,SUM(OFFSET(Forecast!$B$7,0,MAX(1,COLUMN(AP$4)-COLUMN($C$4)-ROUNDDOWN(Assumptions!$B$20/7,0)),1,1),OFFSET(Forecast!$B$12,0,MAX(1,COLUMN(AP$4)-COLUMN($C$4)-ROUNDDOWN(Assumptions!$B$20/7,0)),ROW(Forecast!$B$36)-ROW(Forecast!$B$12),1))/7*(Assumptions!$B$20-(ROUNDDOWN(Assumptions!$B$20/7,0)*7))),0)</f>
        <v>165006.42857142858</v>
      </c>
      <c r="AQ17" s="25">
        <f ca="1">IF(ROUNDDOWN(Assumptions!$B$20/7,0)=0,0,IF(COLUMN(AQ$4)-3&lt;=ROUNDDOWN(Assumptions!$B$20/7,0),SUM(OFFSET(Forecast!$B$7,0,MAX(1,COLUMN(AQ$4)-COLUMN($C$4)-ROUNDDOWN(Assumptions!$B$20/7,0)+1),1,MIN(COLUMN(AQ$4)-3,ROUNDDOWN(Assumptions!$B$20/7,0))),OFFSET(Forecast!$B$12,0,MAX(1,COLUMN(AQ$4)-COLUMN($C$4)-ROUNDDOWN(Assumptions!$B$20/7,0)+1),ROW(Forecast!$B$36)-ROW(Forecast!$B$12),MIN(COLUMN(AQ$4)-3,ROUNDDOWN(Assumptions!$B$20/7,0))))/(MIN(COLUMN(AQ$4)-3,ROUNDDOWN(Assumptions!$B$20/7,0))*7)*Assumptions!$B$20,SUM(OFFSET(Forecast!$B$7,0,MAX(1,COLUMN(AQ$4)-COLUMN($C$4)-ROUNDDOWN(Assumptions!$B$20/7,0)+1),1,MIN(COLUMN(AQ$4)-3,ROUNDDOWN(Assumptions!$B$20/7,0))),OFFSET(Forecast!$B$12,0,MAX(1,COLUMN(AQ$4)-COLUMN($C$4)-ROUNDDOWN(Assumptions!$B$20/7,0)+1),ROW(Forecast!$B$36)-ROW(Forecast!$B$12),MIN(COLUMN(AQ$4)-3,ROUNDDOWN(Assumptions!$B$20/7,0))))))+IF(Assumptions!$B$20/7&gt;ROUNDDOWN(Assumptions!$B$20/7,0),IF(COLUMN(AQ$4)-3&lt;ROUNDDOWN(Assumptions!$B$20/7,0)+1,0,SUM(OFFSET(Forecast!$B$7,0,MAX(1,COLUMN(AQ$4)-COLUMN($C$4)-ROUNDDOWN(Assumptions!$B$20/7,0)),1,1),OFFSET(Forecast!$B$12,0,MAX(1,COLUMN(AQ$4)-COLUMN($C$4)-ROUNDDOWN(Assumptions!$B$20/7,0)),ROW(Forecast!$B$36)-ROW(Forecast!$B$12),1))/7*(Assumptions!$B$20-(ROUNDDOWN(Assumptions!$B$20/7,0)*7))),0)</f>
        <v>158026.42857142858</v>
      </c>
      <c r="AR17" s="25">
        <f ca="1">IF(ROUNDDOWN(Assumptions!$B$20/7,0)=0,0,IF(COLUMN(AR$4)-3&lt;=ROUNDDOWN(Assumptions!$B$20/7,0),SUM(OFFSET(Forecast!$B$7,0,MAX(1,COLUMN(AR$4)-COLUMN($C$4)-ROUNDDOWN(Assumptions!$B$20/7,0)+1),1,MIN(COLUMN(AR$4)-3,ROUNDDOWN(Assumptions!$B$20/7,0))),OFFSET(Forecast!$B$12,0,MAX(1,COLUMN(AR$4)-COLUMN($C$4)-ROUNDDOWN(Assumptions!$B$20/7,0)+1),ROW(Forecast!$B$36)-ROW(Forecast!$B$12),MIN(COLUMN(AR$4)-3,ROUNDDOWN(Assumptions!$B$20/7,0))))/(MIN(COLUMN(AR$4)-3,ROUNDDOWN(Assumptions!$B$20/7,0))*7)*Assumptions!$B$20,SUM(OFFSET(Forecast!$B$7,0,MAX(1,COLUMN(AR$4)-COLUMN($C$4)-ROUNDDOWN(Assumptions!$B$20/7,0)+1),1,MIN(COLUMN(AR$4)-3,ROUNDDOWN(Assumptions!$B$20/7,0))),OFFSET(Forecast!$B$12,0,MAX(1,COLUMN(AR$4)-COLUMN($C$4)-ROUNDDOWN(Assumptions!$B$20/7,0)+1),ROW(Forecast!$B$36)-ROW(Forecast!$B$12),MIN(COLUMN(AR$4)-3,ROUNDDOWN(Assumptions!$B$20/7,0))))))+IF(Assumptions!$B$20/7&gt;ROUNDDOWN(Assumptions!$B$20/7,0),IF(COLUMN(AR$4)-3&lt;ROUNDDOWN(Assumptions!$B$20/7,0)+1,0,SUM(OFFSET(Forecast!$B$7,0,MAX(1,COLUMN(AR$4)-COLUMN($C$4)-ROUNDDOWN(Assumptions!$B$20/7,0)),1,1),OFFSET(Forecast!$B$12,0,MAX(1,COLUMN(AR$4)-COLUMN($C$4)-ROUNDDOWN(Assumptions!$B$20/7,0)),ROW(Forecast!$B$36)-ROW(Forecast!$B$12),1))/7*(Assumptions!$B$20-(ROUNDDOWN(Assumptions!$B$20/7,0)*7))),0)</f>
        <v>135876.42857142858</v>
      </c>
      <c r="AS17" s="25">
        <f ca="1">IF(ROUNDDOWN(Assumptions!$B$20/7,0)=0,0,IF(COLUMN(AS$4)-3&lt;=ROUNDDOWN(Assumptions!$B$20/7,0),SUM(OFFSET(Forecast!$B$7,0,MAX(1,COLUMN(AS$4)-COLUMN($C$4)-ROUNDDOWN(Assumptions!$B$20/7,0)+1),1,MIN(COLUMN(AS$4)-3,ROUNDDOWN(Assumptions!$B$20/7,0))),OFFSET(Forecast!$B$12,0,MAX(1,COLUMN(AS$4)-COLUMN($C$4)-ROUNDDOWN(Assumptions!$B$20/7,0)+1),ROW(Forecast!$B$36)-ROW(Forecast!$B$12),MIN(COLUMN(AS$4)-3,ROUNDDOWN(Assumptions!$B$20/7,0))))/(MIN(COLUMN(AS$4)-3,ROUNDDOWN(Assumptions!$B$20/7,0))*7)*Assumptions!$B$20,SUM(OFFSET(Forecast!$B$7,0,MAX(1,COLUMN(AS$4)-COLUMN($C$4)-ROUNDDOWN(Assumptions!$B$20/7,0)+1),1,MIN(COLUMN(AS$4)-3,ROUNDDOWN(Assumptions!$B$20/7,0))),OFFSET(Forecast!$B$12,0,MAX(1,COLUMN(AS$4)-COLUMN($C$4)-ROUNDDOWN(Assumptions!$B$20/7,0)+1),ROW(Forecast!$B$36)-ROW(Forecast!$B$12),MIN(COLUMN(AS$4)-3,ROUNDDOWN(Assumptions!$B$20/7,0))))))+IF(Assumptions!$B$20/7&gt;ROUNDDOWN(Assumptions!$B$20/7,0),IF(COLUMN(AS$4)-3&lt;ROUNDDOWN(Assumptions!$B$20/7,0)+1,0,SUM(OFFSET(Forecast!$B$7,0,MAX(1,COLUMN(AS$4)-COLUMN($C$4)-ROUNDDOWN(Assumptions!$B$20/7,0)),1,1),OFFSET(Forecast!$B$12,0,MAX(1,COLUMN(AS$4)-COLUMN($C$4)-ROUNDDOWN(Assumptions!$B$20/7,0)),ROW(Forecast!$B$36)-ROW(Forecast!$B$12),1))/7*(Assumptions!$B$20-(ROUNDDOWN(Assumptions!$B$20/7,0)*7))),0)</f>
        <v>149695.71428571429</v>
      </c>
      <c r="AT17" s="25">
        <f ca="1">IF(ROUNDDOWN(Assumptions!$B$20/7,0)=0,0,IF(COLUMN(AT$4)-3&lt;=ROUNDDOWN(Assumptions!$B$20/7,0),SUM(OFFSET(Forecast!$B$7,0,MAX(1,COLUMN(AT$4)-COLUMN($C$4)-ROUNDDOWN(Assumptions!$B$20/7,0)+1),1,MIN(COLUMN(AT$4)-3,ROUNDDOWN(Assumptions!$B$20/7,0))),OFFSET(Forecast!$B$12,0,MAX(1,COLUMN(AT$4)-COLUMN($C$4)-ROUNDDOWN(Assumptions!$B$20/7,0)+1),ROW(Forecast!$B$36)-ROW(Forecast!$B$12),MIN(COLUMN(AT$4)-3,ROUNDDOWN(Assumptions!$B$20/7,0))))/(MIN(COLUMN(AT$4)-3,ROUNDDOWN(Assumptions!$B$20/7,0))*7)*Assumptions!$B$20,SUM(OFFSET(Forecast!$B$7,0,MAX(1,COLUMN(AT$4)-COLUMN($C$4)-ROUNDDOWN(Assumptions!$B$20/7,0)+1),1,MIN(COLUMN(AT$4)-3,ROUNDDOWN(Assumptions!$B$20/7,0))),OFFSET(Forecast!$B$12,0,MAX(1,COLUMN(AT$4)-COLUMN($C$4)-ROUNDDOWN(Assumptions!$B$20/7,0)+1),ROW(Forecast!$B$36)-ROW(Forecast!$B$12),MIN(COLUMN(AT$4)-3,ROUNDDOWN(Assumptions!$B$20/7,0))))))+IF(Assumptions!$B$20/7&gt;ROUNDDOWN(Assumptions!$B$20/7,0),IF(COLUMN(AT$4)-3&lt;ROUNDDOWN(Assumptions!$B$20/7,0)+1,0,SUM(OFFSET(Forecast!$B$7,0,MAX(1,COLUMN(AT$4)-COLUMN($C$4)-ROUNDDOWN(Assumptions!$B$20/7,0)),1,1),OFFSET(Forecast!$B$12,0,MAX(1,COLUMN(AT$4)-COLUMN($C$4)-ROUNDDOWN(Assumptions!$B$20/7,0)),ROW(Forecast!$B$36)-ROW(Forecast!$B$12),1))/7*(Assumptions!$B$20-(ROUNDDOWN(Assumptions!$B$20/7,0)*7))),0)</f>
        <v>136286</v>
      </c>
      <c r="AU17" s="25">
        <f ca="1">IF(ROUNDDOWN(Assumptions!$B$20/7,0)=0,0,IF(COLUMN(AU$4)-3&lt;=ROUNDDOWN(Assumptions!$B$20/7,0),SUM(OFFSET(Forecast!$B$7,0,MAX(1,COLUMN(AU$4)-COLUMN($C$4)-ROUNDDOWN(Assumptions!$B$20/7,0)+1),1,MIN(COLUMN(AU$4)-3,ROUNDDOWN(Assumptions!$B$20/7,0))),OFFSET(Forecast!$B$12,0,MAX(1,COLUMN(AU$4)-COLUMN($C$4)-ROUNDDOWN(Assumptions!$B$20/7,0)+1),ROW(Forecast!$B$36)-ROW(Forecast!$B$12),MIN(COLUMN(AU$4)-3,ROUNDDOWN(Assumptions!$B$20/7,0))))/(MIN(COLUMN(AU$4)-3,ROUNDDOWN(Assumptions!$B$20/7,0))*7)*Assumptions!$B$20,SUM(OFFSET(Forecast!$B$7,0,MAX(1,COLUMN(AU$4)-COLUMN($C$4)-ROUNDDOWN(Assumptions!$B$20/7,0)+1),1,MIN(COLUMN(AU$4)-3,ROUNDDOWN(Assumptions!$B$20/7,0))),OFFSET(Forecast!$B$12,0,MAX(1,COLUMN(AU$4)-COLUMN($C$4)-ROUNDDOWN(Assumptions!$B$20/7,0)+1),ROW(Forecast!$B$36)-ROW(Forecast!$B$12),MIN(COLUMN(AU$4)-3,ROUNDDOWN(Assumptions!$B$20/7,0))))))+IF(Assumptions!$B$20/7&gt;ROUNDDOWN(Assumptions!$B$20/7,0),IF(COLUMN(AU$4)-3&lt;ROUNDDOWN(Assumptions!$B$20/7,0)+1,0,SUM(OFFSET(Forecast!$B$7,0,MAX(1,COLUMN(AU$4)-COLUMN($C$4)-ROUNDDOWN(Assumptions!$B$20/7,0)),1,1),OFFSET(Forecast!$B$12,0,MAX(1,COLUMN(AU$4)-COLUMN($C$4)-ROUNDDOWN(Assumptions!$B$20/7,0)),ROW(Forecast!$B$36)-ROW(Forecast!$B$12),1))/7*(Assumptions!$B$20-(ROUNDDOWN(Assumptions!$B$20/7,0)*7))),0)</f>
        <v>110061.57142857143</v>
      </c>
      <c r="AV17" s="25">
        <f ca="1">IF(ROUNDDOWN(Assumptions!$B$20/7,0)=0,0,IF(COLUMN(AV$4)-3&lt;=ROUNDDOWN(Assumptions!$B$20/7,0),SUM(OFFSET(Forecast!$B$7,0,MAX(1,COLUMN(AV$4)-COLUMN($C$4)-ROUNDDOWN(Assumptions!$B$20/7,0)+1),1,MIN(COLUMN(AV$4)-3,ROUNDDOWN(Assumptions!$B$20/7,0))),OFFSET(Forecast!$B$12,0,MAX(1,COLUMN(AV$4)-COLUMN($C$4)-ROUNDDOWN(Assumptions!$B$20/7,0)+1),ROW(Forecast!$B$36)-ROW(Forecast!$B$12),MIN(COLUMN(AV$4)-3,ROUNDDOWN(Assumptions!$B$20/7,0))))/(MIN(COLUMN(AV$4)-3,ROUNDDOWN(Assumptions!$B$20/7,0))*7)*Assumptions!$B$20,SUM(OFFSET(Forecast!$B$7,0,MAX(1,COLUMN(AV$4)-COLUMN($C$4)-ROUNDDOWN(Assumptions!$B$20/7,0)+1),1,MIN(COLUMN(AV$4)-3,ROUNDDOWN(Assumptions!$B$20/7,0))),OFFSET(Forecast!$B$12,0,MAX(1,COLUMN(AV$4)-COLUMN($C$4)-ROUNDDOWN(Assumptions!$B$20/7,0)+1),ROW(Forecast!$B$36)-ROW(Forecast!$B$12),MIN(COLUMN(AV$4)-3,ROUNDDOWN(Assumptions!$B$20/7,0))))))+IF(Assumptions!$B$20/7&gt;ROUNDDOWN(Assumptions!$B$20/7,0),IF(COLUMN(AV$4)-3&lt;ROUNDDOWN(Assumptions!$B$20/7,0)+1,0,SUM(OFFSET(Forecast!$B$7,0,MAX(1,COLUMN(AV$4)-COLUMN($C$4)-ROUNDDOWN(Assumptions!$B$20/7,0)),1,1),OFFSET(Forecast!$B$12,0,MAX(1,COLUMN(AV$4)-COLUMN($C$4)-ROUNDDOWN(Assumptions!$B$20/7,0)),ROW(Forecast!$B$36)-ROW(Forecast!$B$12),1))/7*(Assumptions!$B$20-(ROUNDDOWN(Assumptions!$B$20/7,0)*7))),0)</f>
        <v>108264.14285714286</v>
      </c>
      <c r="AW17" s="25">
        <f ca="1">IF(ROUNDDOWN(Assumptions!$B$20/7,0)=0,0,IF(COLUMN(AW$4)-3&lt;=ROUNDDOWN(Assumptions!$B$20/7,0),SUM(OFFSET(Forecast!$B$7,0,MAX(1,COLUMN(AW$4)-COLUMN($C$4)-ROUNDDOWN(Assumptions!$B$20/7,0)+1),1,MIN(COLUMN(AW$4)-3,ROUNDDOWN(Assumptions!$B$20/7,0))),OFFSET(Forecast!$B$12,0,MAX(1,COLUMN(AW$4)-COLUMN($C$4)-ROUNDDOWN(Assumptions!$B$20/7,0)+1),ROW(Forecast!$B$36)-ROW(Forecast!$B$12),MIN(COLUMN(AW$4)-3,ROUNDDOWN(Assumptions!$B$20/7,0))))/(MIN(COLUMN(AW$4)-3,ROUNDDOWN(Assumptions!$B$20/7,0))*7)*Assumptions!$B$20,SUM(OFFSET(Forecast!$B$7,0,MAX(1,COLUMN(AW$4)-COLUMN($C$4)-ROUNDDOWN(Assumptions!$B$20/7,0)+1),1,MIN(COLUMN(AW$4)-3,ROUNDDOWN(Assumptions!$B$20/7,0))),OFFSET(Forecast!$B$12,0,MAX(1,COLUMN(AW$4)-COLUMN($C$4)-ROUNDDOWN(Assumptions!$B$20/7,0)+1),ROW(Forecast!$B$36)-ROW(Forecast!$B$12),MIN(COLUMN(AW$4)-3,ROUNDDOWN(Assumptions!$B$20/7,0))))))+IF(Assumptions!$B$20/7&gt;ROUNDDOWN(Assumptions!$B$20/7,0),IF(COLUMN(AW$4)-3&lt;ROUNDDOWN(Assumptions!$B$20/7,0)+1,0,SUM(OFFSET(Forecast!$B$7,0,MAX(1,COLUMN(AW$4)-COLUMN($C$4)-ROUNDDOWN(Assumptions!$B$20/7,0)),1,1),OFFSET(Forecast!$B$12,0,MAX(1,COLUMN(AW$4)-COLUMN($C$4)-ROUNDDOWN(Assumptions!$B$20/7,0)),ROW(Forecast!$B$36)-ROW(Forecast!$B$12),1))/7*(Assumptions!$B$20-(ROUNDDOWN(Assumptions!$B$20/7,0)*7))),0)</f>
        <v>107713</v>
      </c>
      <c r="AX17" s="25">
        <f ca="1">IF(ROUNDDOWN(Assumptions!$B$20/7,0)=0,0,IF(COLUMN(AX$4)-3&lt;=ROUNDDOWN(Assumptions!$B$20/7,0),SUM(OFFSET(Forecast!$B$7,0,MAX(1,COLUMN(AX$4)-COLUMN($C$4)-ROUNDDOWN(Assumptions!$B$20/7,0)+1),1,MIN(COLUMN(AX$4)-3,ROUNDDOWN(Assumptions!$B$20/7,0))),OFFSET(Forecast!$B$12,0,MAX(1,COLUMN(AX$4)-COLUMN($C$4)-ROUNDDOWN(Assumptions!$B$20/7,0)+1),ROW(Forecast!$B$36)-ROW(Forecast!$B$12),MIN(COLUMN(AX$4)-3,ROUNDDOWN(Assumptions!$B$20/7,0))))/(MIN(COLUMN(AX$4)-3,ROUNDDOWN(Assumptions!$B$20/7,0))*7)*Assumptions!$B$20,SUM(OFFSET(Forecast!$B$7,0,MAX(1,COLUMN(AX$4)-COLUMN($C$4)-ROUNDDOWN(Assumptions!$B$20/7,0)+1),1,MIN(COLUMN(AX$4)-3,ROUNDDOWN(Assumptions!$B$20/7,0))),OFFSET(Forecast!$B$12,0,MAX(1,COLUMN(AX$4)-COLUMN($C$4)-ROUNDDOWN(Assumptions!$B$20/7,0)+1),ROW(Forecast!$B$36)-ROW(Forecast!$B$12),MIN(COLUMN(AX$4)-3,ROUNDDOWN(Assumptions!$B$20/7,0))))))+IF(Assumptions!$B$20/7&gt;ROUNDDOWN(Assumptions!$B$20/7,0),IF(COLUMN(AX$4)-3&lt;ROUNDDOWN(Assumptions!$B$20/7,0)+1,0,SUM(OFFSET(Forecast!$B$7,0,MAX(1,COLUMN(AX$4)-COLUMN($C$4)-ROUNDDOWN(Assumptions!$B$20/7,0)),1,1),OFFSET(Forecast!$B$12,0,MAX(1,COLUMN(AX$4)-COLUMN($C$4)-ROUNDDOWN(Assumptions!$B$20/7,0)),ROW(Forecast!$B$36)-ROW(Forecast!$B$12),1))/7*(Assumptions!$B$20-(ROUNDDOWN(Assumptions!$B$20/7,0)*7))),0)</f>
        <v>123499.42857142857</v>
      </c>
      <c r="AY17" s="25">
        <f ca="1">IF(ROUNDDOWN(Assumptions!$B$20/7,0)=0,0,IF(COLUMN(AY$4)-3&lt;=ROUNDDOWN(Assumptions!$B$20/7,0),SUM(OFFSET(Forecast!$B$7,0,MAX(1,COLUMN(AY$4)-COLUMN($C$4)-ROUNDDOWN(Assumptions!$B$20/7,0)+1),1,MIN(COLUMN(AY$4)-3,ROUNDDOWN(Assumptions!$B$20/7,0))),OFFSET(Forecast!$B$12,0,MAX(1,COLUMN(AY$4)-COLUMN($C$4)-ROUNDDOWN(Assumptions!$B$20/7,0)+1),ROW(Forecast!$B$36)-ROW(Forecast!$B$12),MIN(COLUMN(AY$4)-3,ROUNDDOWN(Assumptions!$B$20/7,0))))/(MIN(COLUMN(AY$4)-3,ROUNDDOWN(Assumptions!$B$20/7,0))*7)*Assumptions!$B$20,SUM(OFFSET(Forecast!$B$7,0,MAX(1,COLUMN(AY$4)-COLUMN($C$4)-ROUNDDOWN(Assumptions!$B$20/7,0)+1),1,MIN(COLUMN(AY$4)-3,ROUNDDOWN(Assumptions!$B$20/7,0))),OFFSET(Forecast!$B$12,0,MAX(1,COLUMN(AY$4)-COLUMN($C$4)-ROUNDDOWN(Assumptions!$B$20/7,0)+1),ROW(Forecast!$B$36)-ROW(Forecast!$B$12),MIN(COLUMN(AY$4)-3,ROUNDDOWN(Assumptions!$B$20/7,0))))))+IF(Assumptions!$B$20/7&gt;ROUNDDOWN(Assumptions!$B$20/7,0),IF(COLUMN(AY$4)-3&lt;ROUNDDOWN(Assumptions!$B$20/7,0)+1,0,SUM(OFFSET(Forecast!$B$7,0,MAX(1,COLUMN(AY$4)-COLUMN($C$4)-ROUNDDOWN(Assumptions!$B$20/7,0)),1,1),OFFSET(Forecast!$B$12,0,MAX(1,COLUMN(AY$4)-COLUMN($C$4)-ROUNDDOWN(Assumptions!$B$20/7,0)),ROW(Forecast!$B$36)-ROW(Forecast!$B$12),1))/7*(Assumptions!$B$20-(ROUNDDOWN(Assumptions!$B$20/7,0)*7))),0)</f>
        <v>157064.14285714287</v>
      </c>
      <c r="AZ17" s="25">
        <f ca="1">IF(ROUNDDOWN(Assumptions!$B$20/7,0)=0,0,IF(COLUMN(AZ$4)-3&lt;=ROUNDDOWN(Assumptions!$B$20/7,0),SUM(OFFSET(Forecast!$B$7,0,MAX(1,COLUMN(AZ$4)-COLUMN($C$4)-ROUNDDOWN(Assumptions!$B$20/7,0)+1),1,MIN(COLUMN(AZ$4)-3,ROUNDDOWN(Assumptions!$B$20/7,0))),OFFSET(Forecast!$B$12,0,MAX(1,COLUMN(AZ$4)-COLUMN($C$4)-ROUNDDOWN(Assumptions!$B$20/7,0)+1),ROW(Forecast!$B$36)-ROW(Forecast!$B$12),MIN(COLUMN(AZ$4)-3,ROUNDDOWN(Assumptions!$B$20/7,0))))/(MIN(COLUMN(AZ$4)-3,ROUNDDOWN(Assumptions!$B$20/7,0))*7)*Assumptions!$B$20,SUM(OFFSET(Forecast!$B$7,0,MAX(1,COLUMN(AZ$4)-COLUMN($C$4)-ROUNDDOWN(Assumptions!$B$20/7,0)+1),1,MIN(COLUMN(AZ$4)-3,ROUNDDOWN(Assumptions!$B$20/7,0))),OFFSET(Forecast!$B$12,0,MAX(1,COLUMN(AZ$4)-COLUMN($C$4)-ROUNDDOWN(Assumptions!$B$20/7,0)+1),ROW(Forecast!$B$36)-ROW(Forecast!$B$12),MIN(COLUMN(AZ$4)-3,ROUNDDOWN(Assumptions!$B$20/7,0))))))+IF(Assumptions!$B$20/7&gt;ROUNDDOWN(Assumptions!$B$20/7,0),IF(COLUMN(AZ$4)-3&lt;ROUNDDOWN(Assumptions!$B$20/7,0)+1,0,SUM(OFFSET(Forecast!$B$7,0,MAX(1,COLUMN(AZ$4)-COLUMN($C$4)-ROUNDDOWN(Assumptions!$B$20/7,0)),1,1),OFFSET(Forecast!$B$12,0,MAX(1,COLUMN(AZ$4)-COLUMN($C$4)-ROUNDDOWN(Assumptions!$B$20/7,0)),ROW(Forecast!$B$36)-ROW(Forecast!$B$12),1))/7*(Assumptions!$B$20-(ROUNDDOWN(Assumptions!$B$20/7,0)*7))),0)</f>
        <v>169359.57142857142</v>
      </c>
      <c r="BA17" s="25">
        <f ca="1">IF(ROUNDDOWN(Assumptions!$B$20/7,0)=0,0,IF(COLUMN(BA$4)-3&lt;=ROUNDDOWN(Assumptions!$B$20/7,0),SUM(OFFSET(Forecast!$B$7,0,MAX(1,COLUMN(BA$4)-COLUMN($C$4)-ROUNDDOWN(Assumptions!$B$20/7,0)+1),1,MIN(COLUMN(BA$4)-3,ROUNDDOWN(Assumptions!$B$20/7,0))),OFFSET(Forecast!$B$12,0,MAX(1,COLUMN(BA$4)-COLUMN($C$4)-ROUNDDOWN(Assumptions!$B$20/7,0)+1),ROW(Forecast!$B$36)-ROW(Forecast!$B$12),MIN(COLUMN(BA$4)-3,ROUNDDOWN(Assumptions!$B$20/7,0))))/(MIN(COLUMN(BA$4)-3,ROUNDDOWN(Assumptions!$B$20/7,0))*7)*Assumptions!$B$20,SUM(OFFSET(Forecast!$B$7,0,MAX(1,COLUMN(BA$4)-COLUMN($C$4)-ROUNDDOWN(Assumptions!$B$20/7,0)+1),1,MIN(COLUMN(BA$4)-3,ROUNDDOWN(Assumptions!$B$20/7,0))),OFFSET(Forecast!$B$12,0,MAX(1,COLUMN(BA$4)-COLUMN($C$4)-ROUNDDOWN(Assumptions!$B$20/7,0)+1),ROW(Forecast!$B$36)-ROW(Forecast!$B$12),MIN(COLUMN(BA$4)-3,ROUNDDOWN(Assumptions!$B$20/7,0))))))+IF(Assumptions!$B$20/7&gt;ROUNDDOWN(Assumptions!$B$20/7,0),IF(COLUMN(BA$4)-3&lt;ROUNDDOWN(Assumptions!$B$20/7,0)+1,0,SUM(OFFSET(Forecast!$B$7,0,MAX(1,COLUMN(BA$4)-COLUMN($C$4)-ROUNDDOWN(Assumptions!$B$20/7,0)),1,1),OFFSET(Forecast!$B$12,0,MAX(1,COLUMN(BA$4)-COLUMN($C$4)-ROUNDDOWN(Assumptions!$B$20/7,0)),ROW(Forecast!$B$36)-ROW(Forecast!$B$12),1))/7*(Assumptions!$B$20-(ROUNDDOWN(Assumptions!$B$20/7,0)*7))),0)</f>
        <v>161489.28571428571</v>
      </c>
      <c r="BB17" s="25">
        <f ca="1">IF(ROUNDDOWN(Assumptions!$B$20/7,0)=0,0,IF(COLUMN(BB$4)-3&lt;=ROUNDDOWN(Assumptions!$B$20/7,0),SUM(OFFSET(Forecast!$B$7,0,MAX(1,COLUMN(BB$4)-COLUMN($C$4)-ROUNDDOWN(Assumptions!$B$20/7,0)+1),1,MIN(COLUMN(BB$4)-3,ROUNDDOWN(Assumptions!$B$20/7,0))),OFFSET(Forecast!$B$12,0,MAX(1,COLUMN(BB$4)-COLUMN($C$4)-ROUNDDOWN(Assumptions!$B$20/7,0)+1),ROW(Forecast!$B$36)-ROW(Forecast!$B$12),MIN(COLUMN(BB$4)-3,ROUNDDOWN(Assumptions!$B$20/7,0))))/(MIN(COLUMN(BB$4)-3,ROUNDDOWN(Assumptions!$B$20/7,0))*7)*Assumptions!$B$20,SUM(OFFSET(Forecast!$B$7,0,MAX(1,COLUMN(BB$4)-COLUMN($C$4)-ROUNDDOWN(Assumptions!$B$20/7,0)+1),1,MIN(COLUMN(BB$4)-3,ROUNDDOWN(Assumptions!$B$20/7,0))),OFFSET(Forecast!$B$12,0,MAX(1,COLUMN(BB$4)-COLUMN($C$4)-ROUNDDOWN(Assumptions!$B$20/7,0)+1),ROW(Forecast!$B$36)-ROW(Forecast!$B$12),MIN(COLUMN(BB$4)-3,ROUNDDOWN(Assumptions!$B$20/7,0))))))+IF(Assumptions!$B$20/7&gt;ROUNDDOWN(Assumptions!$B$20/7,0),IF(COLUMN(BB$4)-3&lt;ROUNDDOWN(Assumptions!$B$20/7,0)+1,0,SUM(OFFSET(Forecast!$B$7,0,MAX(1,COLUMN(BB$4)-COLUMN($C$4)-ROUNDDOWN(Assumptions!$B$20/7,0)),1,1),OFFSET(Forecast!$B$12,0,MAX(1,COLUMN(BB$4)-COLUMN($C$4)-ROUNDDOWN(Assumptions!$B$20/7,0)),ROW(Forecast!$B$36)-ROW(Forecast!$B$12),1))/7*(Assumptions!$B$20-(ROUNDDOWN(Assumptions!$B$20/7,0)*7))),0)</f>
        <v>168630</v>
      </c>
      <c r="BC17" s="25">
        <f ca="1">IF(ROUNDDOWN(Assumptions!$B$20/7,0)=0,0,IF(COLUMN(BC$4)-3&lt;=ROUNDDOWN(Assumptions!$B$20/7,0),SUM(OFFSET(Forecast!$B$7,0,MAX(1,COLUMN(BC$4)-COLUMN($C$4)-ROUNDDOWN(Assumptions!$B$20/7,0)+1),1,MIN(COLUMN(BC$4)-3,ROUNDDOWN(Assumptions!$B$20/7,0))),OFFSET(Forecast!$B$12,0,MAX(1,COLUMN(BC$4)-COLUMN($C$4)-ROUNDDOWN(Assumptions!$B$20/7,0)+1),ROW(Forecast!$B$36)-ROW(Forecast!$B$12),MIN(COLUMN(BC$4)-3,ROUNDDOWN(Assumptions!$B$20/7,0))))/(MIN(COLUMN(BC$4)-3,ROUNDDOWN(Assumptions!$B$20/7,0))*7)*Assumptions!$B$20,SUM(OFFSET(Forecast!$B$7,0,MAX(1,COLUMN(BC$4)-COLUMN($C$4)-ROUNDDOWN(Assumptions!$B$20/7,0)+1),1,MIN(COLUMN(BC$4)-3,ROUNDDOWN(Assumptions!$B$20/7,0))),OFFSET(Forecast!$B$12,0,MAX(1,COLUMN(BC$4)-COLUMN($C$4)-ROUNDDOWN(Assumptions!$B$20/7,0)+1),ROW(Forecast!$B$36)-ROW(Forecast!$B$12),MIN(COLUMN(BC$4)-3,ROUNDDOWN(Assumptions!$B$20/7,0))))))+IF(Assumptions!$B$20/7&gt;ROUNDDOWN(Assumptions!$B$20/7,0),IF(COLUMN(BC$4)-3&lt;ROUNDDOWN(Assumptions!$B$20/7,0)+1,0,SUM(OFFSET(Forecast!$B$7,0,MAX(1,COLUMN(BC$4)-COLUMN($C$4)-ROUNDDOWN(Assumptions!$B$20/7,0)),1,1),OFFSET(Forecast!$B$12,0,MAX(1,COLUMN(BC$4)-COLUMN($C$4)-ROUNDDOWN(Assumptions!$B$20/7,0)),ROW(Forecast!$B$36)-ROW(Forecast!$B$12),1))/7*(Assumptions!$B$20-(ROUNDDOWN(Assumptions!$B$20/7,0)*7))),0)</f>
        <v>189703.42857142858</v>
      </c>
      <c r="BD17" s="25">
        <f ca="1">OFFSET($B17,0,Assumptions!$B$7+1,1,1)</f>
        <v>152054.85714285713</v>
      </c>
      <c r="BE17" s="25">
        <f ca="1">OFFSET($B17,0,SUM(Assumptions!$B$7:$B$8)+1,1,1)</f>
        <v>154044.64285714287</v>
      </c>
      <c r="BF17" s="25">
        <f ca="1">OFFSET($B17,0,SUM(Assumptions!$B$7:$B$9)+1,1,1)</f>
        <v>165006.42857142858</v>
      </c>
      <c r="BG17" s="25">
        <f ca="1">OFFSET($B17,0,SUM(Assumptions!$B$7:$B$10)+1,1,1)</f>
        <v>189703.42857142858</v>
      </c>
      <c r="BH17" s="25">
        <f ca="1">BG17</f>
        <v>189703.42857142858</v>
      </c>
    </row>
    <row r="18" spans="1:60" ht="15" customHeight="1" x14ac:dyDescent="0.3">
      <c r="B18" s="7" t="s">
        <v>52</v>
      </c>
      <c r="C18" s="25">
        <f>-Assumptions!$B$30</f>
        <v>0</v>
      </c>
      <c r="D18" s="25">
        <f ca="1">IF(OR(COLUMN(D$4)-COLUMN($C$4)=26,COLUMN(D$4)-COLUMN($C$4)=52),0,OFFSET(D$4,ROW($B18)-ROW($B$4),-1,1,1)+SUM(OFFSET(Forecast!$B$43,0,COLUMN(D$4)-COLUMN($C$4),1,1)))</f>
        <v>0</v>
      </c>
      <c r="E18" s="25">
        <f ca="1">IF(OR(COLUMN(E$4)-COLUMN($C$4)=26,COLUMN(E$4)-COLUMN($C$4)=52),0,OFFSET(E$4,ROW($B18)-ROW($B$4),-1,1,1)+SUM(OFFSET(Forecast!$B$43,0,COLUMN(E$4)-COLUMN($C$4),1,1)))</f>
        <v>4178.4400000000005</v>
      </c>
      <c r="F18" s="25">
        <f ca="1">IF(OR(COLUMN(F$4)-COLUMN($C$4)=26,COLUMN(F$4)-COLUMN($C$4)=52),0,OFFSET(F$4,ROW($B18)-ROW($B$4),-1,1,1)+SUM(OFFSET(Forecast!$B$43,0,COLUMN(F$4)-COLUMN($C$4),1,1)))</f>
        <v>9050.44</v>
      </c>
      <c r="G18" s="25">
        <f ca="1">IF(OR(COLUMN(G$4)-COLUMN($C$4)=26,COLUMN(G$4)-COLUMN($C$4)=52),0,OFFSET(G$4,ROW($B18)-ROW($B$4),-1,1,1)+SUM(OFFSET(Forecast!$B$43,0,COLUMN(G$4)-COLUMN($C$4),1,1)))</f>
        <v>15462.440000000002</v>
      </c>
      <c r="H18" s="25">
        <f ca="1">IF(OR(COLUMN(H$4)-COLUMN($C$4)=26,COLUMN(H$4)-COLUMN($C$4)=52),0,OFFSET(H$4,ROW($B18)-ROW($B$4),-1,1,1)+SUM(OFFSET(Forecast!$B$43,0,COLUMN(H$4)-COLUMN($C$4),1,1)))</f>
        <v>13914.600000000002</v>
      </c>
      <c r="I18" s="25">
        <f ca="1">IF(OR(COLUMN(I$4)-COLUMN($C$4)=26,COLUMN(I$4)-COLUMN($C$4)=52),0,OFFSET(I$4,ROW($B18)-ROW($B$4),-1,1,1)+SUM(OFFSET(Forecast!$B$43,0,COLUMN(I$4)-COLUMN($C$4),1,1)))</f>
        <v>11929.444811519028</v>
      </c>
      <c r="J18" s="25">
        <f ca="1">IF(OR(COLUMN(J$4)-COLUMN($C$4)=26,COLUMN(J$4)-COLUMN($C$4)=52),0,OFFSET(J$4,ROW($B18)-ROW($B$4),-1,1,1)+SUM(OFFSET(Forecast!$B$43,0,COLUMN(J$4)-COLUMN($C$4),1,1)))</f>
        <v>13120.144811519029</v>
      </c>
      <c r="K18" s="25">
        <f ca="1">IF(OR(COLUMN(K$4)-COLUMN($C$4)=26,COLUMN(K$4)-COLUMN($C$4)=52),0,OFFSET(K$4,ROW($B18)-ROW($B$4),-1,1,1)+SUM(OFFSET(Forecast!$B$43,0,COLUMN(K$4)-COLUMN($C$4),1,1)))</f>
        <v>18909.844811519026</v>
      </c>
      <c r="L18" s="25">
        <f ca="1">IF(OR(COLUMN(L$4)-COLUMN($C$4)=26,COLUMN(L$4)-COLUMN($C$4)=52),0,OFFSET(L$4,ROW($B18)-ROW($B$4),-1,1,1)+SUM(OFFSET(Forecast!$B$43,0,COLUMN(L$4)-COLUMN($C$4),1,1)))</f>
        <v>18106.804811519029</v>
      </c>
      <c r="M18" s="25">
        <f ca="1">IF(OR(COLUMN(M$4)-COLUMN($C$4)=26,COLUMN(M$4)-COLUMN($C$4)=52),0,OFFSET(M$4,ROW($B18)-ROW($B$4),-1,1,1)+SUM(OFFSET(Forecast!$B$43,0,COLUMN(M$4)-COLUMN($C$4),1,1)))</f>
        <v>17580.794951657874</v>
      </c>
      <c r="N18" s="25">
        <f ca="1">IF(OR(COLUMN(N$4)-COLUMN($C$4)=26,COLUMN(N$4)-COLUMN($C$4)=52),0,OFFSET(N$4,ROW($B18)-ROW($B$4),-1,1,1)+SUM(OFFSET(Forecast!$B$43,0,COLUMN(N$4)-COLUMN($C$4),1,1)))</f>
        <v>24050.474951657874</v>
      </c>
      <c r="O18" s="25">
        <f ca="1">IF(OR(COLUMN(O$4)-COLUMN($C$4)=26,COLUMN(O$4)-COLUMN($C$4)=52),0,OFFSET(O$4,ROW($B18)-ROW($B$4),-1,1,1)+SUM(OFFSET(Forecast!$B$43,0,COLUMN(O$4)-COLUMN($C$4),1,1)))</f>
        <v>30921.674951657875</v>
      </c>
      <c r="P18" s="25">
        <f ca="1">IF(OR(COLUMN(P$4)-COLUMN($C$4)=26,COLUMN(P$4)-COLUMN($C$4)=52),0,OFFSET(P$4,ROW($B18)-ROW($B$4),-1,1,1)+SUM(OFFSET(Forecast!$B$43,0,COLUMN(P$4)-COLUMN($C$4),1,1)))</f>
        <v>24310.874951657872</v>
      </c>
      <c r="Q18" s="25">
        <f ca="1">IF(OR(COLUMN(Q$4)-COLUMN($C$4)=26,COLUMN(Q$4)-COLUMN($C$4)=52),0,OFFSET(Q$4,ROW($B18)-ROW($B$4),-1,1,1)+SUM(OFFSET(Forecast!$B$43,0,COLUMN(Q$4)-COLUMN($C$4),1,1)))</f>
        <v>25555.813567041962</v>
      </c>
      <c r="R18" s="25">
        <f ca="1">IF(OR(COLUMN(R$4)-COLUMN($C$4)=26,COLUMN(R$4)-COLUMN($C$4)=52),0,OFFSET(R$4,ROW($B18)-ROW($B$4),-1,1,1)+SUM(OFFSET(Forecast!$B$43,0,COLUMN(R$4)-COLUMN($C$4),1,1)))</f>
        <v>31519.813567041962</v>
      </c>
      <c r="S18" s="25">
        <f ca="1">IF(OR(COLUMN(S$4)-COLUMN($C$4)=26,COLUMN(S$4)-COLUMN($C$4)=52),0,OFFSET(S$4,ROW($B18)-ROW($B$4),-1,1,1)+SUM(OFFSET(Forecast!$B$43,0,COLUMN(S$4)-COLUMN($C$4),1,1)))</f>
        <v>38003.913567041964</v>
      </c>
      <c r="T18" s="25">
        <f ca="1">IF(OR(COLUMN(T$4)-COLUMN($C$4)=26,COLUMN(T$4)-COLUMN($C$4)=52),0,OFFSET(T$4,ROW($B18)-ROW($B$4),-1,1,1)+SUM(OFFSET(Forecast!$B$43,0,COLUMN(T$4)-COLUMN($C$4),1,1)))</f>
        <v>41955.413567041964</v>
      </c>
      <c r="U18" s="25">
        <f ca="1">IF(OR(COLUMN(U$4)-COLUMN($C$4)=26,COLUMN(U$4)-COLUMN($C$4)=52),0,OFFSET(U$4,ROW($B18)-ROW($B$4),-1,1,1)+SUM(OFFSET(Forecast!$B$43,0,COLUMN(U$4)-COLUMN($C$4),1,1)))</f>
        <v>41426.213567041959</v>
      </c>
      <c r="V18" s="25">
        <f ca="1">IF(OR(COLUMN(V$4)-COLUMN($C$4)=26,COLUMN(V$4)-COLUMN($C$4)=52),0,OFFSET(V$4,ROW($B18)-ROW($B$4),-1,1,1)+SUM(OFFSET(Forecast!$B$43,0,COLUMN(V$4)-COLUMN($C$4),1,1)))</f>
        <v>42473.068712422326</v>
      </c>
      <c r="W18" s="25">
        <f ca="1">IF(OR(COLUMN(W$4)-COLUMN($C$4)=26,COLUMN(W$4)-COLUMN($C$4)=52),0,OFFSET(W$4,ROW($B18)-ROW($B$4),-1,1,1)+SUM(OFFSET(Forecast!$B$43,0,COLUMN(W$4)-COLUMN($C$4),1,1)))</f>
        <v>47357.668712422324</v>
      </c>
      <c r="X18" s="25">
        <f ca="1">IF(OR(COLUMN(X$4)-COLUMN($C$4)=26,COLUMN(X$4)-COLUMN($C$4)=52),0,OFFSET(X$4,ROW($B18)-ROW($B$4),-1,1,1)+SUM(OFFSET(Forecast!$B$43,0,COLUMN(X$4)-COLUMN($C$4),1,1)))</f>
        <v>51592.668712422324</v>
      </c>
      <c r="Y18" s="25">
        <f ca="1">IF(OR(COLUMN(Y$4)-COLUMN($C$4)=26,COLUMN(Y$4)-COLUMN($C$4)=52),0,OFFSET(Y$4,ROW($B18)-ROW($B$4),-1,1,1)+SUM(OFFSET(Forecast!$B$43,0,COLUMN(Y$4)-COLUMN($C$4),1,1)))</f>
        <v>51792.868712422329</v>
      </c>
      <c r="Z18" s="25">
        <f ca="1">IF(OR(COLUMN(Z$4)-COLUMN($C$4)=26,COLUMN(Z$4)-COLUMN($C$4)=52),0,OFFSET(Z$4,ROW($B18)-ROW($B$4),-1,1,1)+SUM(OFFSET(Forecast!$B$43,0,COLUMN(Z$4)-COLUMN($C$4),1,1)))</f>
        <v>53040.696182436426</v>
      </c>
      <c r="AA18" s="25">
        <f ca="1">IF(OR(COLUMN(AA$4)-COLUMN($C$4)=26,COLUMN(AA$4)-COLUMN($C$4)=52),0,OFFSET(AA$4,ROW($B18)-ROW($B$4),-1,1,1)+SUM(OFFSET(Forecast!$B$43,0,COLUMN(AA$4)-COLUMN($C$4),1,1)))</f>
        <v>57326.096182436428</v>
      </c>
      <c r="AB18" s="25">
        <f ca="1">IF(OR(COLUMN(AB$4)-COLUMN($C$4)=26,COLUMN(AB$4)-COLUMN($C$4)=52),0,OFFSET(AB$4,ROW($B18)-ROW($B$4),-1,1,1)+SUM(OFFSET(Forecast!$B$43,0,COLUMN(AB$4)-COLUMN($C$4),1,1)))</f>
        <v>65086.296182436432</v>
      </c>
      <c r="AC18" s="25">
        <f ca="1">IF(OR(COLUMN(AC$4)-COLUMN($C$4)=26,COLUMN(AC$4)-COLUMN($C$4)=52),0,OFFSET(AC$4,ROW($B18)-ROW($B$4),-1,1,1)+SUM(OFFSET(Forecast!$B$43,0,COLUMN(AC$4)-COLUMN($C$4),1,1)))</f>
        <v>0</v>
      </c>
      <c r="AD18" s="25">
        <f ca="1">IF(OR(COLUMN(AD$4)-COLUMN($C$4)=26,COLUMN(AD$4)-COLUMN($C$4)=52),0,OFFSET(AD$4,ROW($B18)-ROW($B$4),-1,1,1)+SUM(OFFSET(Forecast!$B$43,0,COLUMN(AD$4)-COLUMN($C$4),1,1)))</f>
        <v>5039.9999999999927</v>
      </c>
      <c r="AE18" s="25">
        <f ca="1">IF(OR(COLUMN(AE$4)-COLUMN($C$4)=26,COLUMN(AE$4)-COLUMN($C$4)=52),0,OFFSET(AE$4,ROW($B18)-ROW($B$4),-1,1,1)+SUM(OFFSET(Forecast!$B$43,0,COLUMN(AE$4)-COLUMN($C$4),1,1)))</f>
        <v>10356.078527488389</v>
      </c>
      <c r="AF18" s="25">
        <f ca="1">IF(OR(COLUMN(AF$4)-COLUMN($C$4)=26,COLUMN(AF$4)-COLUMN($C$4)=52),0,OFFSET(AF$4,ROW($B18)-ROW($B$4),-1,1,1)+SUM(OFFSET(Forecast!$B$43,0,COLUMN(AF$4)-COLUMN($C$4),1,1)))</f>
        <v>18770.078527488389</v>
      </c>
      <c r="AG18" s="25">
        <f ca="1">IF(OR(COLUMN(AG$4)-COLUMN($C$4)=26,COLUMN(AG$4)-COLUMN($C$4)=52),0,OFFSET(AG$4,ROW($B18)-ROW($B$4),-1,1,1)+SUM(OFFSET(Forecast!$B$43,0,COLUMN(AG$4)-COLUMN($C$4),1,1)))</f>
        <v>26566.958527488394</v>
      </c>
      <c r="AH18" s="25">
        <f ca="1">IF(OR(COLUMN(AH$4)-COLUMN($C$4)=26,COLUMN(AH$4)-COLUMN($C$4)=52),0,OFFSET(AH$4,ROW($B18)-ROW($B$4),-1,1,1)+SUM(OFFSET(Forecast!$B$43,0,COLUMN(AH$4)-COLUMN($C$4),1,1)))</f>
        <v>27201.158527488391</v>
      </c>
      <c r="AI18" s="25">
        <f ca="1">IF(OR(COLUMN(AI$4)-COLUMN($C$4)=26,COLUMN(AI$4)-COLUMN($C$4)=52),0,OFFSET(AI$4,ROW($B18)-ROW($B$4),-1,1,1)+SUM(OFFSET(Forecast!$B$43,0,COLUMN(AI$4)-COLUMN($C$4),1,1)))</f>
        <v>26816.629809203972</v>
      </c>
      <c r="AJ18" s="25">
        <f ca="1">IF(OR(COLUMN(AJ$4)-COLUMN($C$4)=26,COLUMN(AJ$4)-COLUMN($C$4)=52),0,OFFSET(AJ$4,ROW($B18)-ROW($B$4),-1,1,1)+SUM(OFFSET(Forecast!$B$43,0,COLUMN(AJ$4)-COLUMN($C$4),1,1)))</f>
        <v>35268.709809203974</v>
      </c>
      <c r="AK18" s="25">
        <f ca="1">IF(OR(COLUMN(AK$4)-COLUMN($C$4)=26,COLUMN(AK$4)-COLUMN($C$4)=52),0,OFFSET(AK$4,ROW($B18)-ROW($B$4),-1,1,1)+SUM(OFFSET(Forecast!$B$43,0,COLUMN(AK$4)-COLUMN($C$4),1,1)))</f>
        <v>38264.709809203974</v>
      </c>
      <c r="AL18" s="25">
        <f ca="1">IF(OR(COLUMN(AL$4)-COLUMN($C$4)=26,COLUMN(AL$4)-COLUMN($C$4)=52),0,OFFSET(AL$4,ROW($B18)-ROW($B$4),-1,1,1)+SUM(OFFSET(Forecast!$B$43,0,COLUMN(AL$4)-COLUMN($C$4),1,1)))</f>
        <v>38114.909809203971</v>
      </c>
      <c r="AM18" s="25">
        <f ca="1">IF(OR(COLUMN(AM$4)-COLUMN($C$4)=26,COLUMN(AM$4)-COLUMN($C$4)=52),0,OFFSET(AM$4,ROW($B18)-ROW($B$4),-1,1,1)+SUM(OFFSET(Forecast!$B$43,0,COLUMN(AM$4)-COLUMN($C$4),1,1)))</f>
        <v>39926.118531746244</v>
      </c>
      <c r="AN18" s="25">
        <f ca="1">IF(OR(COLUMN(AN$4)-COLUMN($C$4)=26,COLUMN(AN$4)-COLUMN($C$4)=52),0,OFFSET(AN$4,ROW($B18)-ROW($B$4),-1,1,1)+SUM(OFFSET(Forecast!$B$43,0,COLUMN(AN$4)-COLUMN($C$4),1,1)))</f>
        <v>48704.118531746244</v>
      </c>
      <c r="AO18" s="25">
        <f ca="1">IF(OR(COLUMN(AO$4)-COLUMN($C$4)=26,COLUMN(AO$4)-COLUMN($C$4)=52),0,OFFSET(AO$4,ROW($B18)-ROW($B$4),-1,1,1)+SUM(OFFSET(Forecast!$B$43,0,COLUMN(AO$4)-COLUMN($C$4),1,1)))</f>
        <v>56320.118531746244</v>
      </c>
      <c r="AP18" s="25">
        <f ca="1">IF(OR(COLUMN(AP$4)-COLUMN($C$4)=26,COLUMN(AP$4)-COLUMN($C$4)=52),0,OFFSET(AP$4,ROW($B18)-ROW($B$4),-1,1,1)+SUM(OFFSET(Forecast!$B$43,0,COLUMN(AP$4)-COLUMN($C$4),1,1)))</f>
        <v>53874.318531746241</v>
      </c>
      <c r="AQ18" s="25">
        <f ca="1">IF(OR(COLUMN(AQ$4)-COLUMN($C$4)=26,COLUMN(AQ$4)-COLUMN($C$4)=52),0,OFFSET(AQ$4,ROW($B18)-ROW($B$4),-1,1,1)+SUM(OFFSET(Forecast!$B$43,0,COLUMN(AQ$4)-COLUMN($C$4),1,1)))</f>
        <v>62016.71853174625</v>
      </c>
      <c r="AR18" s="25">
        <f ca="1">IF(OR(COLUMN(AR$4)-COLUMN($C$4)=26,COLUMN(AR$4)-COLUMN($C$4)=52),0,OFFSET(AR$4,ROW($B18)-ROW($B$4),-1,1,1)+SUM(OFFSET(Forecast!$B$43,0,COLUMN(AR$4)-COLUMN($C$4),1,1)))</f>
        <v>62585.612397722412</v>
      </c>
      <c r="AS18" s="25">
        <f ca="1">IF(OR(COLUMN(AS$4)-COLUMN($C$4)=26,COLUMN(AS$4)-COLUMN($C$4)=52),0,OFFSET(AS$4,ROW($B18)-ROW($B$4),-1,1,1)+SUM(OFFSET(Forecast!$B$43,0,COLUMN(AS$4)-COLUMN($C$4),1,1)))</f>
        <v>63126.012397722421</v>
      </c>
      <c r="AT18" s="25">
        <f ca="1">IF(OR(COLUMN(AT$4)-COLUMN($C$4)=26,COLUMN(AT$4)-COLUMN($C$4)=52),0,OFFSET(AT$4,ROW($B18)-ROW($B$4),-1,1,1)+SUM(OFFSET(Forecast!$B$43,0,COLUMN(AT$4)-COLUMN($C$4),1,1)))</f>
        <v>66156.73239772243</v>
      </c>
      <c r="AU18" s="25">
        <f ca="1">IF(OR(COLUMN(AU$4)-COLUMN($C$4)=26,COLUMN(AU$4)-COLUMN($C$4)=52),0,OFFSET(AU$4,ROW($B18)-ROW($B$4),-1,1,1)+SUM(OFFSET(Forecast!$B$43,0,COLUMN(AU$4)-COLUMN($C$4),1,1)))</f>
        <v>61977.172397722432</v>
      </c>
      <c r="AV18" s="25">
        <f ca="1">IF(OR(COLUMN(AV$4)-COLUMN($C$4)=26,COLUMN(AV$4)-COLUMN($C$4)=52),0,OFFSET(AV$4,ROW($B18)-ROW($B$4),-1,1,1)+SUM(OFFSET(Forecast!$B$43,0,COLUMN(AV$4)-COLUMN($C$4),1,1)))</f>
        <v>60348.742152137551</v>
      </c>
      <c r="AW18" s="25">
        <f ca="1">IF(OR(COLUMN(AW$4)-COLUMN($C$4)=26,COLUMN(AW$4)-COLUMN($C$4)=52),0,OFFSET(AW$4,ROW($B18)-ROW($B$4),-1,1,1)+SUM(OFFSET(Forecast!$B$43,0,COLUMN(AW$4)-COLUMN($C$4),1,1)))</f>
        <v>65822.742152137551</v>
      </c>
      <c r="AX18" s="25">
        <f ca="1">IF(OR(COLUMN(AX$4)-COLUMN($C$4)=26,COLUMN(AX$4)-COLUMN($C$4)=52),0,OFFSET(AX$4,ROW($B18)-ROW($B$4),-1,1,1)+SUM(OFFSET(Forecast!$B$43,0,COLUMN(AX$4)-COLUMN($C$4),1,1)))</f>
        <v>73732.182152137553</v>
      </c>
      <c r="AY18" s="25">
        <f ca="1">IF(OR(COLUMN(AY$4)-COLUMN($C$4)=26,COLUMN(AY$4)-COLUMN($C$4)=52),0,OFFSET(AY$4,ROW($B18)-ROW($B$4),-1,1,1)+SUM(OFFSET(Forecast!$B$43,0,COLUMN(AY$4)-COLUMN($C$4),1,1)))</f>
        <v>72350.382152137536</v>
      </c>
      <c r="AZ18" s="25">
        <f ca="1">IF(OR(COLUMN(AZ$4)-COLUMN($C$4)=26,COLUMN(AZ$4)-COLUMN($C$4)=52),0,OFFSET(AZ$4,ROW($B18)-ROW($B$4),-1,1,1)+SUM(OFFSET(Forecast!$B$43,0,COLUMN(AZ$4)-COLUMN($C$4),1,1)))</f>
        <v>75430.901609015462</v>
      </c>
      <c r="BA18" s="25">
        <f ca="1">IF(OR(COLUMN(BA$4)-COLUMN($C$4)=26,COLUMN(BA$4)-COLUMN($C$4)=52),0,OFFSET(BA$4,ROW($B18)-ROW($B$4),-1,1,1)+SUM(OFFSET(Forecast!$B$43,0,COLUMN(BA$4)-COLUMN($C$4),1,1)))</f>
        <v>83503.301609015485</v>
      </c>
      <c r="BB18" s="25">
        <f ca="1">IF(OR(COLUMN(BB$4)-COLUMN($C$4)=26,COLUMN(BB$4)-COLUMN($C$4)=52),0,OFFSET(BB$4,ROW($B18)-ROW($B$4),-1,1,1)+SUM(OFFSET(Forecast!$B$43,0,COLUMN(BB$4)-COLUMN($C$4),1,1)))</f>
        <v>87322.501609015468</v>
      </c>
      <c r="BC18" s="25">
        <f ca="1">IF(OR(COLUMN(BC$4)-COLUMN($C$4)=26,COLUMN(BC$4)-COLUMN($C$4)=52),0,OFFSET(BC$4,ROW($B18)-ROW($B$4),-1,1,1)+SUM(OFFSET(Forecast!$B$43,0,COLUMN(BC$4)-COLUMN($C$4),1,1)))</f>
        <v>0</v>
      </c>
      <c r="BD18" s="25">
        <f ca="1">OFFSET($B18,0,Assumptions!$B$7+1,1,1)</f>
        <v>24310.874951657872</v>
      </c>
      <c r="BE18" s="25">
        <f ca="1">OFFSET($B18,0,SUM(Assumptions!$B$7:$B$8)+1,1,1)</f>
        <v>0</v>
      </c>
      <c r="BF18" s="25">
        <f ca="1">OFFSET($B18,0,SUM(Assumptions!$B$7:$B$9)+1,1,1)</f>
        <v>53874.318531746241</v>
      </c>
      <c r="BG18" s="25">
        <f ca="1">OFFSET($B18,0,SUM(Assumptions!$B$7:$B$10)+1,1,1)</f>
        <v>0</v>
      </c>
      <c r="BH18" s="25">
        <f ca="1">BG18</f>
        <v>0</v>
      </c>
    </row>
    <row r="19" spans="1:60" s="11" customFormat="1" ht="15" customHeight="1" thickBot="1" x14ac:dyDescent="0.4">
      <c r="B19" s="2"/>
      <c r="C19" s="35">
        <f>SUM(C13:C18)</f>
        <v>1211000</v>
      </c>
      <c r="D19" s="35">
        <f ca="1">SUM(D13:D18)</f>
        <v>1229842.4238697852</v>
      </c>
      <c r="E19" s="35">
        <f t="shared" ref="E19:BC19" ca="1" si="3">SUM(E13:E18)</f>
        <v>1224853.2810126422</v>
      </c>
      <c r="F19" s="35">
        <f t="shared" ca="1" si="3"/>
        <v>1238542.4238697852</v>
      </c>
      <c r="G19" s="35">
        <f t="shared" ca="1" si="3"/>
        <v>1270612.1381554995</v>
      </c>
      <c r="H19" s="35">
        <f t="shared" ca="1" si="3"/>
        <v>1277164.5667269279</v>
      </c>
      <c r="I19" s="35">
        <f t="shared" ca="1" si="3"/>
        <v>1270171.2763109987</v>
      </c>
      <c r="J19" s="35">
        <f t="shared" ca="1" si="3"/>
        <v>1267882.7048824271</v>
      </c>
      <c r="K19" s="35">
        <f t="shared" ca="1" si="3"/>
        <v>1272994.1334538558</v>
      </c>
      <c r="L19" s="35">
        <f t="shared" ca="1" si="3"/>
        <v>1269257.9191681417</v>
      </c>
      <c r="M19" s="35">
        <f t="shared" ca="1" si="3"/>
        <v>1266695.7001807836</v>
      </c>
      <c r="N19" s="35">
        <f t="shared" ca="1" si="3"/>
        <v>1285583.9144664982</v>
      </c>
      <c r="O19" s="35">
        <f t="shared" ca="1" si="3"/>
        <v>1296221.7716093555</v>
      </c>
      <c r="P19" s="35">
        <f t="shared" ca="1" si="3"/>
        <v>1397455.4858950693</v>
      </c>
      <c r="Q19" s="35">
        <f t="shared" ca="1" si="3"/>
        <v>1401926.5197270429</v>
      </c>
      <c r="R19" s="35">
        <f t="shared" ca="1" si="3"/>
        <v>1399909.3768699002</v>
      </c>
      <c r="S19" s="35">
        <f t="shared" ca="1" si="3"/>
        <v>1405850.8054413286</v>
      </c>
      <c r="T19" s="35">
        <f t="shared" ca="1" si="3"/>
        <v>1431368.6625841858</v>
      </c>
      <c r="U19" s="35">
        <f t="shared" ca="1" si="3"/>
        <v>1447117.9482984715</v>
      </c>
      <c r="V19" s="35">
        <f t="shared" ca="1" si="3"/>
        <v>1438015.6249875878</v>
      </c>
      <c r="W19" s="35">
        <f t="shared" ca="1" si="3"/>
        <v>1440590.2678447305</v>
      </c>
      <c r="X19" s="35">
        <f t="shared" ca="1" si="3"/>
        <v>1445982.1249875876</v>
      </c>
      <c r="Y19" s="35">
        <f t="shared" ca="1" si="3"/>
        <v>1456575.0535590164</v>
      </c>
      <c r="Z19" s="35">
        <f t="shared" ca="1" si="3"/>
        <v>1452167.3731052754</v>
      </c>
      <c r="AA19" s="35">
        <f t="shared" ca="1" si="3"/>
        <v>1472048.0873909898</v>
      </c>
      <c r="AB19" s="35">
        <f t="shared" ca="1" si="3"/>
        <v>1490880.2302481325</v>
      </c>
      <c r="AC19" s="35">
        <f t="shared" ca="1" si="3"/>
        <v>1426228.8340656962</v>
      </c>
      <c r="AD19" s="35">
        <f t="shared" ca="1" si="3"/>
        <v>1453242.4054942676</v>
      </c>
      <c r="AE19" s="35">
        <f t="shared" ca="1" si="3"/>
        <v>1440572.5821833834</v>
      </c>
      <c r="AF19" s="35">
        <f t="shared" ca="1" si="3"/>
        <v>1459748.653611955</v>
      </c>
      <c r="AG19" s="35">
        <f t="shared" ca="1" si="3"/>
        <v>1482384.3678976693</v>
      </c>
      <c r="AH19" s="35">
        <f t="shared" ca="1" si="3"/>
        <v>1495084.3678976691</v>
      </c>
      <c r="AI19" s="35">
        <f t="shared" ca="1" si="3"/>
        <v>1500381.116015357</v>
      </c>
      <c r="AJ19" s="35">
        <f t="shared" ca="1" si="3"/>
        <v>1524200.5445867856</v>
      </c>
      <c r="AK19" s="35">
        <f t="shared" ca="1" si="3"/>
        <v>1539988.4017296426</v>
      </c>
      <c r="AL19" s="35">
        <f t="shared" ca="1" si="3"/>
        <v>1548590.6874439283</v>
      </c>
      <c r="AM19" s="35">
        <f t="shared" ca="1" si="3"/>
        <v>1534317.4355616162</v>
      </c>
      <c r="AN19" s="35">
        <f t="shared" ca="1" si="3"/>
        <v>1552430.2927044735</v>
      </c>
      <c r="AO19" s="35">
        <f t="shared" ca="1" si="3"/>
        <v>1567168.1498473305</v>
      </c>
      <c r="AP19" s="35">
        <f t="shared" ca="1" si="3"/>
        <v>1580939.5784187589</v>
      </c>
      <c r="AQ19" s="35">
        <f t="shared" ca="1" si="3"/>
        <v>1603039.5784187589</v>
      </c>
      <c r="AR19" s="35">
        <f t="shared" ca="1" si="3"/>
        <v>1566416.8979650179</v>
      </c>
      <c r="AS19" s="35">
        <f t="shared" ca="1" si="3"/>
        <v>1582166.1836793036</v>
      </c>
      <c r="AT19" s="35">
        <f t="shared" ca="1" si="3"/>
        <v>1579580.4693935895</v>
      </c>
      <c r="AU19" s="35">
        <f t="shared" ca="1" si="3"/>
        <v>1538429.0408221607</v>
      </c>
      <c r="AV19" s="35">
        <f t="shared" ca="1" si="3"/>
        <v>1514166.9317969913</v>
      </c>
      <c r="AW19" s="35">
        <f t="shared" ca="1" si="3"/>
        <v>1533165.7889398483</v>
      </c>
      <c r="AX19" s="35">
        <f t="shared" ca="1" si="3"/>
        <v>1577200.2175112772</v>
      </c>
      <c r="AY19" s="35">
        <f t="shared" ca="1" si="3"/>
        <v>1605829.9317969913</v>
      </c>
      <c r="AZ19" s="35">
        <f t="shared" ca="1" si="3"/>
        <v>1612332.6799146787</v>
      </c>
      <c r="BA19" s="35">
        <f t="shared" ca="1" si="3"/>
        <v>1633292.3942003932</v>
      </c>
      <c r="BB19" s="35">
        <f t="shared" ca="1" si="3"/>
        <v>1654073.1084861073</v>
      </c>
      <c r="BC19" s="35">
        <f t="shared" ca="1" si="3"/>
        <v>1576907.3954485205</v>
      </c>
      <c r="BD19" s="35">
        <f ca="1">SUM(BD13:BD18)</f>
        <v>1397455.4858950693</v>
      </c>
      <c r="BE19" s="35">
        <f ca="1">SUM(BE13:BE18)</f>
        <v>1426228.8340656962</v>
      </c>
      <c r="BF19" s="35">
        <f ca="1">SUM(BF13:BF18)</f>
        <v>1580939.5784187589</v>
      </c>
      <c r="BG19" s="35">
        <f ca="1">SUM(BG13:BG18)</f>
        <v>1576907.3954485205</v>
      </c>
      <c r="BH19" s="35">
        <f ca="1">SUM(BH13:BH18)</f>
        <v>1576907.3954485205</v>
      </c>
    </row>
    <row r="20" spans="1:60" s="38" customFormat="1" ht="15" customHeight="1" thickTop="1" x14ac:dyDescent="0.3">
      <c r="B20" s="39"/>
      <c r="C20" s="47"/>
      <c r="D20" s="47"/>
      <c r="E20" s="47"/>
      <c r="F20" s="47"/>
      <c r="G20" s="47"/>
      <c r="H20" s="47"/>
    </row>
    <row r="21" spans="1:60" s="36" customFormat="1" ht="15" customHeight="1" x14ac:dyDescent="0.35">
      <c r="B21" s="6" t="s">
        <v>106</v>
      </c>
      <c r="C21" s="48"/>
      <c r="D21" s="48">
        <v>7</v>
      </c>
      <c r="E21" s="48">
        <v>7</v>
      </c>
      <c r="F21" s="48">
        <v>7</v>
      </c>
      <c r="G21" s="48">
        <v>7</v>
      </c>
      <c r="H21" s="48">
        <v>7</v>
      </c>
      <c r="I21" s="48">
        <v>7</v>
      </c>
      <c r="J21" s="48">
        <v>7</v>
      </c>
      <c r="K21" s="48">
        <v>7</v>
      </c>
      <c r="L21" s="48">
        <v>7</v>
      </c>
      <c r="M21" s="48">
        <v>7</v>
      </c>
      <c r="N21" s="48">
        <v>7</v>
      </c>
      <c r="O21" s="48">
        <v>7</v>
      </c>
      <c r="P21" s="48">
        <v>7</v>
      </c>
      <c r="Q21" s="48">
        <v>7</v>
      </c>
      <c r="R21" s="48">
        <v>7</v>
      </c>
      <c r="S21" s="48">
        <v>7</v>
      </c>
      <c r="T21" s="48">
        <v>7</v>
      </c>
      <c r="U21" s="48">
        <v>7</v>
      </c>
      <c r="V21" s="48">
        <v>7</v>
      </c>
      <c r="W21" s="48">
        <v>7</v>
      </c>
      <c r="X21" s="48">
        <v>7</v>
      </c>
      <c r="Y21" s="48">
        <v>7</v>
      </c>
      <c r="Z21" s="48">
        <v>7</v>
      </c>
      <c r="AA21" s="48">
        <v>7</v>
      </c>
      <c r="AB21" s="48">
        <v>7</v>
      </c>
      <c r="AC21" s="48">
        <v>7</v>
      </c>
      <c r="AD21" s="48">
        <v>7</v>
      </c>
      <c r="AE21" s="48">
        <v>7</v>
      </c>
      <c r="AF21" s="48">
        <v>7</v>
      </c>
      <c r="AG21" s="48">
        <v>7</v>
      </c>
      <c r="AH21" s="48">
        <v>7</v>
      </c>
      <c r="AI21" s="48">
        <v>7</v>
      </c>
      <c r="AJ21" s="48">
        <v>7</v>
      </c>
      <c r="AK21" s="48">
        <v>7</v>
      </c>
      <c r="AL21" s="48">
        <v>7</v>
      </c>
      <c r="AM21" s="48">
        <v>7</v>
      </c>
      <c r="AN21" s="48">
        <v>7</v>
      </c>
      <c r="AO21" s="48">
        <v>7</v>
      </c>
      <c r="AP21" s="48">
        <v>7</v>
      </c>
      <c r="AQ21" s="48">
        <v>7</v>
      </c>
      <c r="AR21" s="48">
        <v>7</v>
      </c>
      <c r="AS21" s="48">
        <v>7</v>
      </c>
      <c r="AT21" s="48">
        <v>7</v>
      </c>
      <c r="AU21" s="48">
        <v>7</v>
      </c>
      <c r="AV21" s="48">
        <v>7</v>
      </c>
      <c r="AW21" s="48">
        <v>7</v>
      </c>
      <c r="AX21" s="48">
        <v>7</v>
      </c>
      <c r="AY21" s="48">
        <v>7</v>
      </c>
      <c r="AZ21" s="48">
        <v>7</v>
      </c>
      <c r="BA21" s="48">
        <v>7</v>
      </c>
      <c r="BB21" s="48">
        <v>7</v>
      </c>
      <c r="BC21" s="48">
        <v>7</v>
      </c>
      <c r="BD21" s="48">
        <f ca="1">SUM(OFFSET($B21,0,2,1,Assumptions!$B$7))</f>
        <v>91</v>
      </c>
      <c r="BE21" s="48">
        <f ca="1">SUM(OFFSET($B21,0,Assumptions!$B$7+1,1,SUM(Assumptions!$B$8)))</f>
        <v>91</v>
      </c>
      <c r="BF21" s="48">
        <f ca="1">SUM(OFFSET($B21,0,SUM(Assumptions!$B$7:$B$8)+1,1,SUM(Assumptions!$B$9)))</f>
        <v>91</v>
      </c>
      <c r="BG21" s="48">
        <f ca="1">SUM(OFFSET($B21,0,SUM(Assumptions!$B$7:$B$9)+1,1,SUM(Assumptions!$B$10)))</f>
        <v>91</v>
      </c>
      <c r="BH21" s="48">
        <f ca="1">SUM(BD21:BG21)</f>
        <v>364</v>
      </c>
    </row>
    <row r="22" spans="1:60" ht="15" customHeight="1" x14ac:dyDescent="0.3">
      <c r="J22" s="8"/>
      <c r="K22" s="8"/>
      <c r="L22" s="8"/>
      <c r="M22" s="8"/>
      <c r="N22" s="8"/>
      <c r="O22" s="8"/>
      <c r="P22" s="8"/>
    </row>
    <row r="23" spans="1:60" s="37" customFormat="1" ht="15" customHeight="1" x14ac:dyDescent="0.4">
      <c r="B23" s="1" t="str">
        <f>Assumptions!$B$4</f>
        <v>Example Trading Limited</v>
      </c>
      <c r="C23" s="3"/>
      <c r="D23" s="8"/>
      <c r="E23" s="8"/>
      <c r="F23" s="8"/>
      <c r="G23" s="8"/>
      <c r="H23" s="8"/>
      <c r="I23" s="8"/>
      <c r="J23" s="5"/>
      <c r="K23" s="5"/>
      <c r="L23" s="5"/>
      <c r="M23" s="5"/>
      <c r="N23" s="5"/>
      <c r="O23" s="5"/>
      <c r="P23" s="5"/>
      <c r="Q23" s="41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41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41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15" customHeight="1" x14ac:dyDescent="0.35">
      <c r="B24" s="6" t="s">
        <v>114</v>
      </c>
      <c r="C24" s="3"/>
    </row>
    <row r="25" spans="1:60" ht="15" customHeight="1" x14ac:dyDescent="0.35">
      <c r="B25" s="90"/>
      <c r="C25" s="89" t="s">
        <v>105</v>
      </c>
      <c r="D25" s="89" t="str">
        <f>IF(COLUMN(D26)-2&lt;=Assumptions!$B$7,"Q1",IF(COLUMN(D26)-2&lt;=SUM(Assumptions!$B$7:$B$8),"Q2",IF(COLUMN(D26)-2&lt;=SUM(Assumptions!$B$7:$B$9),"Q3","Q4")))</f>
        <v>Q1</v>
      </c>
      <c r="E25" s="89" t="str">
        <f>IF(COLUMN(E26)-2&lt;=Assumptions!$B$7,"Q1",IF(COLUMN(E26)-2&lt;=SUM(Assumptions!$B$7:$B$8),"Q2",IF(COLUMN(E26)-2&lt;=SUM(Assumptions!$B$7:$B$9),"Q3","Q4")))</f>
        <v>Q1</v>
      </c>
      <c r="F25" s="89" t="str">
        <f>IF(COLUMN(F26)-2&lt;=Assumptions!$B$7,"Q1",IF(COLUMN(F26)-2&lt;=SUM(Assumptions!$B$7:$B$8),"Q2",IF(COLUMN(F26)-2&lt;=SUM(Assumptions!$B$7:$B$9),"Q3","Q4")))</f>
        <v>Q1</v>
      </c>
      <c r="G25" s="89" t="str">
        <f>IF(COLUMN(G26)-2&lt;=Assumptions!$B$7,"Q1",IF(COLUMN(G26)-2&lt;=SUM(Assumptions!$B$7:$B$8),"Q2",IF(COLUMN(G26)-2&lt;=SUM(Assumptions!$B$7:$B$9),"Q3","Q4")))</f>
        <v>Q1</v>
      </c>
      <c r="H25" s="89" t="str">
        <f>IF(COLUMN(H26)-2&lt;=Assumptions!$B$7,"Q1",IF(COLUMN(H26)-2&lt;=SUM(Assumptions!$B$7:$B$8),"Q2",IF(COLUMN(H26)-2&lt;=SUM(Assumptions!$B$7:$B$9),"Q3","Q4")))</f>
        <v>Q1</v>
      </c>
      <c r="I25" s="89" t="str">
        <f>IF(COLUMN(I26)-2&lt;=Assumptions!$B$7,"Q1",IF(COLUMN(I26)-2&lt;=SUM(Assumptions!$B$7:$B$8),"Q2",IF(COLUMN(I26)-2&lt;=SUM(Assumptions!$B$7:$B$9),"Q3","Q4")))</f>
        <v>Q1</v>
      </c>
      <c r="J25" s="89" t="str">
        <f>IF(COLUMN(J26)-2&lt;=Assumptions!$B$7,"Q1",IF(COLUMN(J26)-2&lt;=SUM(Assumptions!$B$7:$B$8),"Q2",IF(COLUMN(J26)-2&lt;=SUM(Assumptions!$B$7:$B$9),"Q3","Q4")))</f>
        <v>Q1</v>
      </c>
      <c r="K25" s="89" t="str">
        <f>IF(COLUMN(K26)-2&lt;=Assumptions!$B$7,"Q1",IF(COLUMN(K26)-2&lt;=SUM(Assumptions!$B$7:$B$8),"Q2",IF(COLUMN(K26)-2&lt;=SUM(Assumptions!$B$7:$B$9),"Q3","Q4")))</f>
        <v>Q1</v>
      </c>
      <c r="L25" s="89" t="str">
        <f>IF(COLUMN(L26)-2&lt;=Assumptions!$B$7,"Q1",IF(COLUMN(L26)-2&lt;=SUM(Assumptions!$B$7:$B$8),"Q2",IF(COLUMN(L26)-2&lt;=SUM(Assumptions!$B$7:$B$9),"Q3","Q4")))</f>
        <v>Q1</v>
      </c>
      <c r="M25" s="89" t="str">
        <f>IF(COLUMN(M26)-2&lt;=Assumptions!$B$7,"Q1",IF(COLUMN(M26)-2&lt;=SUM(Assumptions!$B$7:$B$8),"Q2",IF(COLUMN(M26)-2&lt;=SUM(Assumptions!$B$7:$B$9),"Q3","Q4")))</f>
        <v>Q1</v>
      </c>
      <c r="N25" s="89" t="str">
        <f>IF(COLUMN(N26)-2&lt;=Assumptions!$B$7,"Q1",IF(COLUMN(N26)-2&lt;=SUM(Assumptions!$B$7:$B$8),"Q2",IF(COLUMN(N26)-2&lt;=SUM(Assumptions!$B$7:$B$9),"Q3","Q4")))</f>
        <v>Q1</v>
      </c>
      <c r="O25" s="89" t="str">
        <f>IF(COLUMN(O26)-2&lt;=Assumptions!$B$7,"Q1",IF(COLUMN(O26)-2&lt;=SUM(Assumptions!$B$7:$B$8),"Q2",IF(COLUMN(O26)-2&lt;=SUM(Assumptions!$B$7:$B$9),"Q3","Q4")))</f>
        <v>Q1</v>
      </c>
      <c r="P25" s="89" t="str">
        <f>IF(COLUMN(P26)-2&lt;=Assumptions!$B$7,"Q1",IF(COLUMN(P26)-2&lt;=SUM(Assumptions!$B$7:$B$8),"Q2",IF(COLUMN(P26)-2&lt;=SUM(Assumptions!$B$7:$B$9),"Q3","Q4")))</f>
        <v>Q2</v>
      </c>
      <c r="Q25" s="89" t="str">
        <f>IF(COLUMN(Q26)-2&lt;=Assumptions!$B$7,"Q1",IF(COLUMN(Q26)-2&lt;=SUM(Assumptions!$B$7:$B$8),"Q2",IF(COLUMN(Q26)-2&lt;=SUM(Assumptions!$B$7:$B$9),"Q3","Q4")))</f>
        <v>Q2</v>
      </c>
      <c r="R25" s="89" t="str">
        <f>IF(COLUMN(R26)-2&lt;=Assumptions!$B$7,"Q1",IF(COLUMN(R26)-2&lt;=SUM(Assumptions!$B$7:$B$8),"Q2",IF(COLUMN(R26)-2&lt;=SUM(Assumptions!$B$7:$B$9),"Q3","Q4")))</f>
        <v>Q2</v>
      </c>
      <c r="S25" s="89" t="str">
        <f>IF(COLUMN(S26)-2&lt;=Assumptions!$B$7,"Q1",IF(COLUMN(S26)-2&lt;=SUM(Assumptions!$B$7:$B$8),"Q2",IF(COLUMN(S26)-2&lt;=SUM(Assumptions!$B$7:$B$9),"Q3","Q4")))</f>
        <v>Q2</v>
      </c>
      <c r="T25" s="89" t="str">
        <f>IF(COLUMN(T26)-2&lt;=Assumptions!$B$7,"Q1",IF(COLUMN(T26)-2&lt;=SUM(Assumptions!$B$7:$B$8),"Q2",IF(COLUMN(T26)-2&lt;=SUM(Assumptions!$B$7:$B$9),"Q3","Q4")))</f>
        <v>Q2</v>
      </c>
      <c r="U25" s="89" t="str">
        <f>IF(COLUMN(U26)-2&lt;=Assumptions!$B$7,"Q1",IF(COLUMN(U26)-2&lt;=SUM(Assumptions!$B$7:$B$8),"Q2",IF(COLUMN(U26)-2&lt;=SUM(Assumptions!$B$7:$B$9),"Q3","Q4")))</f>
        <v>Q2</v>
      </c>
      <c r="V25" s="89" t="str">
        <f>IF(COLUMN(V26)-2&lt;=Assumptions!$B$7,"Q1",IF(COLUMN(V26)-2&lt;=SUM(Assumptions!$B$7:$B$8),"Q2",IF(COLUMN(V26)-2&lt;=SUM(Assumptions!$B$7:$B$9),"Q3","Q4")))</f>
        <v>Q2</v>
      </c>
      <c r="W25" s="89" t="str">
        <f>IF(COLUMN(W26)-2&lt;=Assumptions!$B$7,"Q1",IF(COLUMN(W26)-2&lt;=SUM(Assumptions!$B$7:$B$8),"Q2",IF(COLUMN(W26)-2&lt;=SUM(Assumptions!$B$7:$B$9),"Q3","Q4")))</f>
        <v>Q2</v>
      </c>
      <c r="X25" s="89" t="str">
        <f>IF(COLUMN(X26)-2&lt;=Assumptions!$B$7,"Q1",IF(COLUMN(X26)-2&lt;=SUM(Assumptions!$B$7:$B$8),"Q2",IF(COLUMN(X26)-2&lt;=SUM(Assumptions!$B$7:$B$9),"Q3","Q4")))</f>
        <v>Q2</v>
      </c>
      <c r="Y25" s="89" t="str">
        <f>IF(COLUMN(Y26)-2&lt;=Assumptions!$B$7,"Q1",IF(COLUMN(Y26)-2&lt;=SUM(Assumptions!$B$7:$B$8),"Q2",IF(COLUMN(Y26)-2&lt;=SUM(Assumptions!$B$7:$B$9),"Q3","Q4")))</f>
        <v>Q2</v>
      </c>
      <c r="Z25" s="89" t="str">
        <f>IF(COLUMN(Z26)-2&lt;=Assumptions!$B$7,"Q1",IF(COLUMN(Z26)-2&lt;=SUM(Assumptions!$B$7:$B$8),"Q2",IF(COLUMN(Z26)-2&lt;=SUM(Assumptions!$B$7:$B$9),"Q3","Q4")))</f>
        <v>Q2</v>
      </c>
      <c r="AA25" s="89" t="str">
        <f>IF(COLUMN(AA26)-2&lt;=Assumptions!$B$7,"Q1",IF(COLUMN(AA26)-2&lt;=SUM(Assumptions!$B$7:$B$8),"Q2",IF(COLUMN(AA26)-2&lt;=SUM(Assumptions!$B$7:$B$9),"Q3","Q4")))</f>
        <v>Q2</v>
      </c>
      <c r="AB25" s="89" t="str">
        <f>IF(COLUMN(AB26)-2&lt;=Assumptions!$B$7,"Q1",IF(COLUMN(AB26)-2&lt;=SUM(Assumptions!$B$7:$B$8),"Q2",IF(COLUMN(AB26)-2&lt;=SUM(Assumptions!$B$7:$B$9),"Q3","Q4")))</f>
        <v>Q2</v>
      </c>
      <c r="AC25" s="89" t="str">
        <f>IF(COLUMN(AC26)-2&lt;=Assumptions!$B$7,"Q1",IF(COLUMN(AC26)-2&lt;=SUM(Assumptions!$B$7:$B$8),"Q2",IF(COLUMN(AC26)-2&lt;=SUM(Assumptions!$B$7:$B$9),"Q3","Q4")))</f>
        <v>Q3</v>
      </c>
      <c r="AD25" s="89" t="str">
        <f>IF(COLUMN(AD26)-2&lt;=Assumptions!$B$7,"Q1",IF(COLUMN(AD26)-2&lt;=SUM(Assumptions!$B$7:$B$8),"Q2",IF(COLUMN(AD26)-2&lt;=SUM(Assumptions!$B$7:$B$9),"Q3","Q4")))</f>
        <v>Q3</v>
      </c>
      <c r="AE25" s="89" t="str">
        <f>IF(COLUMN(AE26)-2&lt;=Assumptions!$B$7,"Q1",IF(COLUMN(AE26)-2&lt;=SUM(Assumptions!$B$7:$B$8),"Q2",IF(COLUMN(AE26)-2&lt;=SUM(Assumptions!$B$7:$B$9),"Q3","Q4")))</f>
        <v>Q3</v>
      </c>
      <c r="AF25" s="89" t="str">
        <f>IF(COLUMN(AF26)-2&lt;=Assumptions!$B$7,"Q1",IF(COLUMN(AF26)-2&lt;=SUM(Assumptions!$B$7:$B$8),"Q2",IF(COLUMN(AF26)-2&lt;=SUM(Assumptions!$B$7:$B$9),"Q3","Q4")))</f>
        <v>Q3</v>
      </c>
      <c r="AG25" s="89" t="str">
        <f>IF(COLUMN(AG26)-2&lt;=Assumptions!$B$7,"Q1",IF(COLUMN(AG26)-2&lt;=SUM(Assumptions!$B$7:$B$8),"Q2",IF(COLUMN(AG26)-2&lt;=SUM(Assumptions!$B$7:$B$9),"Q3","Q4")))</f>
        <v>Q3</v>
      </c>
      <c r="AH25" s="89" t="str">
        <f>IF(COLUMN(AH26)-2&lt;=Assumptions!$B$7,"Q1",IF(COLUMN(AH26)-2&lt;=SUM(Assumptions!$B$7:$B$8),"Q2",IF(COLUMN(AH26)-2&lt;=SUM(Assumptions!$B$7:$B$9),"Q3","Q4")))</f>
        <v>Q3</v>
      </c>
      <c r="AI25" s="89" t="str">
        <f>IF(COLUMN(AI26)-2&lt;=Assumptions!$B$7,"Q1",IF(COLUMN(AI26)-2&lt;=SUM(Assumptions!$B$7:$B$8),"Q2",IF(COLUMN(AI26)-2&lt;=SUM(Assumptions!$B$7:$B$9),"Q3","Q4")))</f>
        <v>Q3</v>
      </c>
      <c r="AJ25" s="89" t="str">
        <f>IF(COLUMN(AJ26)-2&lt;=Assumptions!$B$7,"Q1",IF(COLUMN(AJ26)-2&lt;=SUM(Assumptions!$B$7:$B$8),"Q2",IF(COLUMN(AJ26)-2&lt;=SUM(Assumptions!$B$7:$B$9),"Q3","Q4")))</f>
        <v>Q3</v>
      </c>
      <c r="AK25" s="89" t="str">
        <f>IF(COLUMN(AK26)-2&lt;=Assumptions!$B$7,"Q1",IF(COLUMN(AK26)-2&lt;=SUM(Assumptions!$B$7:$B$8),"Q2",IF(COLUMN(AK26)-2&lt;=SUM(Assumptions!$B$7:$B$9),"Q3","Q4")))</f>
        <v>Q3</v>
      </c>
      <c r="AL25" s="89" t="str">
        <f>IF(COLUMN(AL26)-2&lt;=Assumptions!$B$7,"Q1",IF(COLUMN(AL26)-2&lt;=SUM(Assumptions!$B$7:$B$8),"Q2",IF(COLUMN(AL26)-2&lt;=SUM(Assumptions!$B$7:$B$9),"Q3","Q4")))</f>
        <v>Q3</v>
      </c>
      <c r="AM25" s="89" t="str">
        <f>IF(COLUMN(AM26)-2&lt;=Assumptions!$B$7,"Q1",IF(COLUMN(AM26)-2&lt;=SUM(Assumptions!$B$7:$B$8),"Q2",IF(COLUMN(AM26)-2&lt;=SUM(Assumptions!$B$7:$B$9),"Q3","Q4")))</f>
        <v>Q3</v>
      </c>
      <c r="AN25" s="89" t="str">
        <f>IF(COLUMN(AN26)-2&lt;=Assumptions!$B$7,"Q1",IF(COLUMN(AN26)-2&lt;=SUM(Assumptions!$B$7:$B$8),"Q2",IF(COLUMN(AN26)-2&lt;=SUM(Assumptions!$B$7:$B$9),"Q3","Q4")))</f>
        <v>Q3</v>
      </c>
      <c r="AO25" s="89" t="str">
        <f>IF(COLUMN(AO26)-2&lt;=Assumptions!$B$7,"Q1",IF(COLUMN(AO26)-2&lt;=SUM(Assumptions!$B$7:$B$8),"Q2",IF(COLUMN(AO26)-2&lt;=SUM(Assumptions!$B$7:$B$9),"Q3","Q4")))</f>
        <v>Q3</v>
      </c>
      <c r="AP25" s="89" t="str">
        <f>IF(COLUMN(AP26)-2&lt;=Assumptions!$B$7,"Q1",IF(COLUMN(AP26)-2&lt;=SUM(Assumptions!$B$7:$B$8),"Q2",IF(COLUMN(AP26)-2&lt;=SUM(Assumptions!$B$7:$B$9),"Q3","Q4")))</f>
        <v>Q4</v>
      </c>
      <c r="AQ25" s="89" t="str">
        <f>IF(COLUMN(AQ26)-2&lt;=Assumptions!$B$7,"Q1",IF(COLUMN(AQ26)-2&lt;=SUM(Assumptions!$B$7:$B$8),"Q2",IF(COLUMN(AQ26)-2&lt;=SUM(Assumptions!$B$7:$B$9),"Q3","Q4")))</f>
        <v>Q4</v>
      </c>
      <c r="AR25" s="89" t="str">
        <f>IF(COLUMN(AR26)-2&lt;=Assumptions!$B$7,"Q1",IF(COLUMN(AR26)-2&lt;=SUM(Assumptions!$B$7:$B$8),"Q2",IF(COLUMN(AR26)-2&lt;=SUM(Assumptions!$B$7:$B$9),"Q3","Q4")))</f>
        <v>Q4</v>
      </c>
      <c r="AS25" s="89" t="str">
        <f>IF(COLUMN(AS26)-2&lt;=Assumptions!$B$7,"Q1",IF(COLUMN(AS26)-2&lt;=SUM(Assumptions!$B$7:$B$8),"Q2",IF(COLUMN(AS26)-2&lt;=SUM(Assumptions!$B$7:$B$9),"Q3","Q4")))</f>
        <v>Q4</v>
      </c>
      <c r="AT25" s="89" t="str">
        <f>IF(COLUMN(AT26)-2&lt;=Assumptions!$B$7,"Q1",IF(COLUMN(AT26)-2&lt;=SUM(Assumptions!$B$7:$B$8),"Q2",IF(COLUMN(AT26)-2&lt;=SUM(Assumptions!$B$7:$B$9),"Q3","Q4")))</f>
        <v>Q4</v>
      </c>
      <c r="AU25" s="89" t="str">
        <f>IF(COLUMN(AU26)-2&lt;=Assumptions!$B$7,"Q1",IF(COLUMN(AU26)-2&lt;=SUM(Assumptions!$B$7:$B$8),"Q2",IF(COLUMN(AU26)-2&lt;=SUM(Assumptions!$B$7:$B$9),"Q3","Q4")))</f>
        <v>Q4</v>
      </c>
      <c r="AV25" s="89" t="str">
        <f>IF(COLUMN(AV26)-2&lt;=Assumptions!$B$7,"Q1",IF(COLUMN(AV26)-2&lt;=SUM(Assumptions!$B$7:$B$8),"Q2",IF(COLUMN(AV26)-2&lt;=SUM(Assumptions!$B$7:$B$9),"Q3","Q4")))</f>
        <v>Q4</v>
      </c>
      <c r="AW25" s="89" t="str">
        <f>IF(COLUMN(AW26)-2&lt;=Assumptions!$B$7,"Q1",IF(COLUMN(AW26)-2&lt;=SUM(Assumptions!$B$7:$B$8),"Q2",IF(COLUMN(AW26)-2&lt;=SUM(Assumptions!$B$7:$B$9),"Q3","Q4")))</f>
        <v>Q4</v>
      </c>
      <c r="AX25" s="89" t="str">
        <f>IF(COLUMN(AX26)-2&lt;=Assumptions!$B$7,"Q1",IF(COLUMN(AX26)-2&lt;=SUM(Assumptions!$B$7:$B$8),"Q2",IF(COLUMN(AX26)-2&lt;=SUM(Assumptions!$B$7:$B$9),"Q3","Q4")))</f>
        <v>Q4</v>
      </c>
      <c r="AY25" s="89" t="str">
        <f>IF(COLUMN(AY26)-2&lt;=Assumptions!$B$7,"Q1",IF(COLUMN(AY26)-2&lt;=SUM(Assumptions!$B$7:$B$8),"Q2",IF(COLUMN(AY26)-2&lt;=SUM(Assumptions!$B$7:$B$9),"Q3","Q4")))</f>
        <v>Q4</v>
      </c>
      <c r="AZ25" s="89" t="str">
        <f>IF(COLUMN(AZ26)-2&lt;=Assumptions!$B$7,"Q1",IF(COLUMN(AZ26)-2&lt;=SUM(Assumptions!$B$7:$B$8),"Q2",IF(COLUMN(AZ26)-2&lt;=SUM(Assumptions!$B$7:$B$9),"Q3","Q4")))</f>
        <v>Q4</v>
      </c>
      <c r="BA25" s="89" t="str">
        <f>IF(COLUMN(BA26)-2&lt;=Assumptions!$B$7,"Q1",IF(COLUMN(BA26)-2&lt;=SUM(Assumptions!$B$7:$B$8),"Q2",IF(COLUMN(BA26)-2&lt;=SUM(Assumptions!$B$7:$B$9),"Q3","Q4")))</f>
        <v>Q4</v>
      </c>
      <c r="BB25" s="89" t="str">
        <f>IF(COLUMN(BB26)-2&lt;=Assumptions!$B$7,"Q1",IF(COLUMN(BB26)-2&lt;=SUM(Assumptions!$B$7:$B$8),"Q2",IF(COLUMN(BB26)-2&lt;=SUM(Assumptions!$B$7:$B$9),"Q3","Q4")))</f>
        <v>Q4</v>
      </c>
      <c r="BC25" s="89" t="str">
        <f>IF(COLUMN(BC26)-2&lt;=Assumptions!$B$7,"Q1",IF(COLUMN(BC26)-2&lt;=SUM(Assumptions!$B$7:$B$8),"Q2",IF(COLUMN(BC26)-2&lt;=SUM(Assumptions!$B$7:$B$9),"Q3","Q4")))</f>
        <v>Q4</v>
      </c>
      <c r="BD25" s="91" t="s">
        <v>101</v>
      </c>
      <c r="BE25" s="91" t="s">
        <v>102</v>
      </c>
      <c r="BF25" s="91" t="s">
        <v>103</v>
      </c>
      <c r="BG25" s="91" t="s">
        <v>104</v>
      </c>
      <c r="BH25" s="91"/>
    </row>
    <row r="26" spans="1:60" ht="15" customHeight="1" x14ac:dyDescent="0.3">
      <c r="B26" s="67"/>
      <c r="C26" s="68">
        <f ca="1">IF(ISBLANK(Assumptions!$B$5)=TRUE,DATE(YEAR(TODAY()),MONTH(TODAY()),0),DATE(YEAR(Assumptions!$B$5),MONTH(Assumptions!$B$5),DAY(Assumptions!$B$5)-1))</f>
        <v>42428</v>
      </c>
      <c r="D26" s="68">
        <f ca="1">IF(ISBLANK(Assumptions!$B$5)=TRUE,DATE(YEAR(TODAY()),MONTH(TODAY()),7),DATE(YEAR(Assumptions!$B$5),MONTH(Assumptions!$B$5),DAY(Assumptions!$B$5)+6))</f>
        <v>42435</v>
      </c>
      <c r="E26" s="68">
        <f t="shared" ref="E26:BC26" ca="1" si="4">DATE(YEAR(OFFSET(E25,1,-1,1,1)),MONTH(OFFSET(E25,1,-1,1,1)),DAY(OFFSET(E25,1,-1,1,1))+7)</f>
        <v>42442</v>
      </c>
      <c r="F26" s="68">
        <f t="shared" ca="1" si="4"/>
        <v>42449</v>
      </c>
      <c r="G26" s="68">
        <f t="shared" ca="1" si="4"/>
        <v>42456</v>
      </c>
      <c r="H26" s="68">
        <f t="shared" ca="1" si="4"/>
        <v>42463</v>
      </c>
      <c r="I26" s="68">
        <f t="shared" ca="1" si="4"/>
        <v>42470</v>
      </c>
      <c r="J26" s="68">
        <f t="shared" ca="1" si="4"/>
        <v>42477</v>
      </c>
      <c r="K26" s="68">
        <f t="shared" ca="1" si="4"/>
        <v>42484</v>
      </c>
      <c r="L26" s="68">
        <f t="shared" ca="1" si="4"/>
        <v>42491</v>
      </c>
      <c r="M26" s="68">
        <f t="shared" ca="1" si="4"/>
        <v>42498</v>
      </c>
      <c r="N26" s="68">
        <f t="shared" ca="1" si="4"/>
        <v>42505</v>
      </c>
      <c r="O26" s="68">
        <f t="shared" ca="1" si="4"/>
        <v>42512</v>
      </c>
      <c r="P26" s="68">
        <f t="shared" ca="1" si="4"/>
        <v>42519</v>
      </c>
      <c r="Q26" s="68">
        <f t="shared" ca="1" si="4"/>
        <v>42526</v>
      </c>
      <c r="R26" s="68">
        <f t="shared" ca="1" si="4"/>
        <v>42533</v>
      </c>
      <c r="S26" s="68">
        <f t="shared" ca="1" si="4"/>
        <v>42540</v>
      </c>
      <c r="T26" s="68">
        <f t="shared" ca="1" si="4"/>
        <v>42547</v>
      </c>
      <c r="U26" s="68">
        <f t="shared" ca="1" si="4"/>
        <v>42554</v>
      </c>
      <c r="V26" s="68">
        <f t="shared" ca="1" si="4"/>
        <v>42561</v>
      </c>
      <c r="W26" s="68">
        <f t="shared" ca="1" si="4"/>
        <v>42568</v>
      </c>
      <c r="X26" s="68">
        <f t="shared" ca="1" si="4"/>
        <v>42575</v>
      </c>
      <c r="Y26" s="68">
        <f t="shared" ca="1" si="4"/>
        <v>42582</v>
      </c>
      <c r="Z26" s="68">
        <f t="shared" ca="1" si="4"/>
        <v>42589</v>
      </c>
      <c r="AA26" s="68">
        <f t="shared" ca="1" si="4"/>
        <v>42596</v>
      </c>
      <c r="AB26" s="68">
        <f t="shared" ca="1" si="4"/>
        <v>42603</v>
      </c>
      <c r="AC26" s="68">
        <f t="shared" ca="1" si="4"/>
        <v>42610</v>
      </c>
      <c r="AD26" s="68">
        <f t="shared" ca="1" si="4"/>
        <v>42617</v>
      </c>
      <c r="AE26" s="68">
        <f t="shared" ca="1" si="4"/>
        <v>42624</v>
      </c>
      <c r="AF26" s="68">
        <f t="shared" ca="1" si="4"/>
        <v>42631</v>
      </c>
      <c r="AG26" s="68">
        <f t="shared" ca="1" si="4"/>
        <v>42638</v>
      </c>
      <c r="AH26" s="68">
        <f t="shared" ca="1" si="4"/>
        <v>42645</v>
      </c>
      <c r="AI26" s="68">
        <f t="shared" ca="1" si="4"/>
        <v>42652</v>
      </c>
      <c r="AJ26" s="68">
        <f t="shared" ca="1" si="4"/>
        <v>42659</v>
      </c>
      <c r="AK26" s="68">
        <f t="shared" ca="1" si="4"/>
        <v>42666</v>
      </c>
      <c r="AL26" s="68">
        <f t="shared" ca="1" si="4"/>
        <v>42673</v>
      </c>
      <c r="AM26" s="68">
        <f t="shared" ca="1" si="4"/>
        <v>42680</v>
      </c>
      <c r="AN26" s="68">
        <f t="shared" ca="1" si="4"/>
        <v>42687</v>
      </c>
      <c r="AO26" s="68">
        <f t="shared" ca="1" si="4"/>
        <v>42694</v>
      </c>
      <c r="AP26" s="68">
        <f t="shared" ca="1" si="4"/>
        <v>42701</v>
      </c>
      <c r="AQ26" s="68">
        <f t="shared" ca="1" si="4"/>
        <v>42708</v>
      </c>
      <c r="AR26" s="68">
        <f t="shared" ca="1" si="4"/>
        <v>42715</v>
      </c>
      <c r="AS26" s="68">
        <f t="shared" ca="1" si="4"/>
        <v>42722</v>
      </c>
      <c r="AT26" s="68">
        <f t="shared" ca="1" si="4"/>
        <v>42729</v>
      </c>
      <c r="AU26" s="68">
        <f t="shared" ca="1" si="4"/>
        <v>42736</v>
      </c>
      <c r="AV26" s="68">
        <f t="shared" ca="1" si="4"/>
        <v>42743</v>
      </c>
      <c r="AW26" s="68">
        <f t="shared" ca="1" si="4"/>
        <v>42750</v>
      </c>
      <c r="AX26" s="68">
        <f t="shared" ca="1" si="4"/>
        <v>42757</v>
      </c>
      <c r="AY26" s="68">
        <f t="shared" ca="1" si="4"/>
        <v>42764</v>
      </c>
      <c r="AZ26" s="68">
        <f t="shared" ca="1" si="4"/>
        <v>42771</v>
      </c>
      <c r="BA26" s="68">
        <f t="shared" ca="1" si="4"/>
        <v>42778</v>
      </c>
      <c r="BB26" s="68">
        <f t="shared" ca="1" si="4"/>
        <v>42785</v>
      </c>
      <c r="BC26" s="68">
        <f t="shared" ca="1" si="4"/>
        <v>42792</v>
      </c>
      <c r="BD26" s="69" t="s">
        <v>87</v>
      </c>
      <c r="BE26" s="69" t="s">
        <v>88</v>
      </c>
      <c r="BF26" s="69" t="s">
        <v>89</v>
      </c>
      <c r="BG26" s="69" t="s">
        <v>90</v>
      </c>
      <c r="BH26" s="69" t="str">
        <f ca="1">"Total "&amp;YEAR(OFFSET($BD$4,0,-1,1,1))</f>
        <v>Total 2017</v>
      </c>
    </row>
    <row r="27" spans="1:60" s="38" customFormat="1" ht="15" customHeight="1" x14ac:dyDescent="0.35">
      <c r="A27" s="11"/>
      <c r="B27" s="2" t="s">
        <v>35</v>
      </c>
      <c r="C27" s="23"/>
      <c r="D27" s="98"/>
      <c r="E27" s="23"/>
      <c r="F27" s="23"/>
      <c r="G27" s="23"/>
      <c r="H27" s="23"/>
      <c r="I27" s="2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</row>
    <row r="28" spans="1:60" ht="15" customHeight="1" x14ac:dyDescent="0.3">
      <c r="A28" s="95"/>
      <c r="B28" s="7" t="s">
        <v>55</v>
      </c>
      <c r="C28" s="102">
        <f>Assumptions!$B$22</f>
        <v>800000</v>
      </c>
      <c r="D28" s="97">
        <f ca="1">OFFSET(D$4,ROW($B28)-ROW($B$4),-1,1,1)-OFFSET(Actual!$B$69,0,COLUMN(D$4)-COLUMN($C$4),1,1)-OFFSET(Actual!$B$58,0,COLUMN(D$4)-COLUMN($C$4),1,1)</f>
        <v>800000</v>
      </c>
      <c r="E28" s="25">
        <f ca="1">OFFSET(E$4,ROW($B28)-ROW($B$4),-1,1,1)-OFFSET(Actual!$B$69,0,COLUMN(E$4)-COLUMN($C$4),1,1)-OFFSET(Actual!$B$58,0,COLUMN(E$4)-COLUMN($C$4),1,1)</f>
        <v>800000</v>
      </c>
      <c r="F28" s="25">
        <f ca="1">OFFSET(F$4,ROW($B28)-ROW($B$4),-1,1,1)-OFFSET(Actual!$B$69,0,COLUMN(F$4)-COLUMN($C$4),1,1)-OFFSET(Actual!$B$58,0,COLUMN(F$4)-COLUMN($C$4),1,1)</f>
        <v>800000</v>
      </c>
      <c r="G28" s="25">
        <f ca="1">OFFSET(G$4,ROW($B28)-ROW($B$4),-1,1,1)-OFFSET(Actual!$B$69,0,COLUMN(G$4)-COLUMN($C$4),1,1)-OFFSET(Actual!$B$58,0,COLUMN(G$4)-COLUMN($C$4),1,1)</f>
        <v>800000</v>
      </c>
      <c r="H28" s="25">
        <f ca="1">OFFSET(H$4,ROW($B28)-ROW($B$4),-1,1,1)-OFFSET(Actual!$B$69,0,COLUMN(H$4)-COLUMN($C$4),1,1)-OFFSET(Actual!$B$58,0,COLUMN(H$4)-COLUMN($C$4),1,1)</f>
        <v>786667</v>
      </c>
      <c r="I28" s="25">
        <f ca="1">OFFSET(I$4,ROW($B28)-ROW($B$4),-1,1,1)-OFFSET(Actual!$B$69,0,COLUMN(I$4)-COLUMN($C$4),1,1)-OFFSET(Actual!$B$58,0,COLUMN(I$4)-COLUMN($C$4),1,1)</f>
        <v>786667</v>
      </c>
      <c r="J28" s="25">
        <f ca="1">OFFSET(J$4,ROW($B28)-ROW($B$4),-1,1,1)-OFFSET(Actual!$B$69,0,COLUMN(J$4)-COLUMN($C$4),1,1)-OFFSET(Actual!$B$58,0,COLUMN(J$4)-COLUMN($C$4),1,1)</f>
        <v>786667</v>
      </c>
      <c r="K28" s="25">
        <f ca="1">OFFSET(K$4,ROW($B28)-ROW($B$4),-1,1,1)-OFFSET(Actual!$B$69,0,COLUMN(K$4)-COLUMN($C$4),1,1)-OFFSET(Actual!$B$58,0,COLUMN(K$4)-COLUMN($C$4),1,1)</f>
        <v>786667</v>
      </c>
      <c r="L28" s="25">
        <f ca="1">OFFSET(L$4,ROW($B28)-ROW($B$4),-1,1,1)-OFFSET(Actual!$B$69,0,COLUMN(L$4)-COLUMN($C$4),1,1)-OFFSET(Actual!$B$58,0,COLUMN(L$4)-COLUMN($C$4),1,1)</f>
        <v>773334</v>
      </c>
      <c r="M28" s="25">
        <f ca="1">OFFSET(M$4,ROW($B28)-ROW($B$4),-1,1,1)-OFFSET(Actual!$B$69,0,COLUMN(M$4)-COLUMN($C$4),1,1)-OFFSET(Actual!$B$58,0,COLUMN(M$4)-COLUMN($C$4),1,1)</f>
        <v>773334</v>
      </c>
      <c r="N28" s="25">
        <f ca="1">OFFSET(N$4,ROW($B28)-ROW($B$4),-1,1,1)-OFFSET(Actual!$B$69,0,COLUMN(N$4)-COLUMN($C$4),1,1)-OFFSET(Actual!$B$58,0,COLUMN(N$4)-COLUMN($C$4),1,1)</f>
        <v>773334</v>
      </c>
      <c r="O28" s="25">
        <f ca="1">OFFSET(O$4,ROW($B28)-ROW($B$4),-1,1,1)-OFFSET(Actual!$B$69,0,COLUMN(O$4)-COLUMN($C$4),1,1)-OFFSET(Actual!$B$58,0,COLUMN(O$4)-COLUMN($C$4),1,1)</f>
        <v>773334</v>
      </c>
      <c r="P28" s="25">
        <f ca="1">OFFSET(P$4,ROW($B28)-ROW($B$4),-1,1,1)-OFFSET(Actual!$B$69,0,COLUMN(P$4)-COLUMN($C$4),1,1)-OFFSET(Actual!$B$58,0,COLUMN(P$4)-COLUMN($C$4),1,1)</f>
        <v>838334</v>
      </c>
      <c r="Q28" s="25">
        <f ca="1">OFFSET(Q$4,ROW($B28)-ROW($B$4),-1,1,1)-OFFSET(Actual!$B$69,0,COLUMN(Q$4)-COLUMN($C$4),1,1)-OFFSET(Actual!$B$58,0,COLUMN(Q$4)-COLUMN($C$4),1,1)</f>
        <v>858334</v>
      </c>
      <c r="R28" s="25">
        <f ca="1">OFFSET(R$4,ROW($B28)-ROW($B$4),-1,1,1)-OFFSET(Actual!$B$69,0,COLUMN(R$4)-COLUMN($C$4),1,1)-OFFSET(Actual!$B$58,0,COLUMN(R$4)-COLUMN($C$4),1,1)</f>
        <v>858334</v>
      </c>
      <c r="S28" s="25">
        <f ca="1">OFFSET(S$4,ROW($B28)-ROW($B$4),-1,1,1)-OFFSET(Actual!$B$69,0,COLUMN(S$4)-COLUMN($C$4),1,1)-OFFSET(Actual!$B$58,0,COLUMN(S$4)-COLUMN($C$4),1,1)</f>
        <v>858334</v>
      </c>
      <c r="T28" s="25">
        <f ca="1">OFFSET(T$4,ROW($B28)-ROW($B$4),-1,1,1)-OFFSET(Actual!$B$69,0,COLUMN(T$4)-COLUMN($C$4),1,1)-OFFSET(Actual!$B$58,0,COLUMN(T$4)-COLUMN($C$4),1,1)</f>
        <v>858334</v>
      </c>
      <c r="U28" s="25">
        <f ca="1">OFFSET(U$4,ROW($B28)-ROW($B$4),-1,1,1)-OFFSET(Actual!$B$69,0,COLUMN(U$4)-COLUMN($C$4),1,1)-OFFSET(Actual!$B$58,0,COLUMN(U$4)-COLUMN($C$4),1,1)</f>
        <v>843334</v>
      </c>
      <c r="V28" s="25">
        <f ca="1">OFFSET(V$4,ROW($B28)-ROW($B$4),-1,1,1)-OFFSET(Actual!$B$69,0,COLUMN(V$4)-COLUMN($C$4),1,1)-OFFSET(Actual!$B$58,0,COLUMN(V$4)-COLUMN($C$4),1,1)</f>
        <v>843334</v>
      </c>
      <c r="W28" s="25">
        <f ca="1">OFFSET(W$4,ROW($B28)-ROW($B$4),-1,1,1)-OFFSET(Actual!$B$69,0,COLUMN(W$4)-COLUMN($C$4),1,1)-OFFSET(Actual!$B$58,0,COLUMN(W$4)-COLUMN($C$4),1,1)</f>
        <v>843334</v>
      </c>
      <c r="X28" s="25">
        <f ca="1">OFFSET(X$4,ROW($B28)-ROW($B$4),-1,1,1)-OFFSET(Actual!$B$69,0,COLUMN(X$4)-COLUMN($C$4),1,1)-OFFSET(Actual!$B$58,0,COLUMN(X$4)-COLUMN($C$4),1,1)</f>
        <v>843334</v>
      </c>
      <c r="Y28" s="25">
        <f ca="1">OFFSET(Y$4,ROW($B28)-ROW($B$4),-1,1,1)-OFFSET(Actual!$B$69,0,COLUMN(Y$4)-COLUMN($C$4),1,1)-OFFSET(Actual!$B$58,0,COLUMN(Y$4)-COLUMN($C$4),1,1)</f>
        <v>828334</v>
      </c>
      <c r="Z28" s="25">
        <f ca="1">OFFSET(Z$4,ROW($B28)-ROW($B$4),-1,1,1)-OFFSET(Actual!$B$69,0,COLUMN(Z$4)-COLUMN($C$4),1,1)-OFFSET(Actual!$B$58,0,COLUMN(Z$4)-COLUMN($C$4),1,1)</f>
        <v>878334</v>
      </c>
      <c r="AA28" s="25">
        <f ca="1">OFFSET(AA$4,ROW($B28)-ROW($B$4),-1,1,1)-OFFSET(Actual!$B$69,0,COLUMN(AA$4)-COLUMN($C$4),1,1)-OFFSET(Actual!$B$58,0,COLUMN(AA$4)-COLUMN($C$4),1,1)</f>
        <v>878334</v>
      </c>
      <c r="AB28" s="25">
        <f ca="1">OFFSET(AB$4,ROW($B28)-ROW($B$4),-1,1,1)-OFFSET(Actual!$B$69,0,COLUMN(AB$4)-COLUMN($C$4),1,1)-OFFSET(Actual!$B$58,0,COLUMN(AB$4)-COLUMN($C$4),1,1)</f>
        <v>878334</v>
      </c>
      <c r="AC28" s="25">
        <f ca="1">OFFSET(AC$4,ROW($B28)-ROW($B$4),-1,1,1)-OFFSET(Actual!$B$69,0,COLUMN(AC$4)-COLUMN($C$4),1,1)-OFFSET(Actual!$B$58,0,COLUMN(AC$4)-COLUMN($C$4),1,1)</f>
        <v>862334</v>
      </c>
      <c r="AD28" s="25">
        <f ca="1">OFFSET(AD$4,ROW($B28)-ROW($B$4),-1,1,1)-OFFSET(Actual!$B$69,0,COLUMN(AD$4)-COLUMN($C$4),1,1)-OFFSET(Actual!$B$58,0,COLUMN(AD$4)-COLUMN($C$4),1,1)</f>
        <v>862334</v>
      </c>
      <c r="AE28" s="25">
        <f ca="1">OFFSET(AE$4,ROW($B28)-ROW($B$4),-1,1,1)-OFFSET(Actual!$B$69,0,COLUMN(AE$4)-COLUMN($C$4),1,1)-OFFSET(Actual!$B$58,0,COLUMN(AE$4)-COLUMN($C$4),1,1)</f>
        <v>862334</v>
      </c>
      <c r="AF28" s="25">
        <f ca="1">OFFSET(AF$4,ROW($B28)-ROW($B$4),-1,1,1)-OFFSET(Actual!$B$69,0,COLUMN(AF$4)-COLUMN($C$4),1,1)-OFFSET(Actual!$B$58,0,COLUMN(AF$4)-COLUMN($C$4),1,1)</f>
        <v>862334</v>
      </c>
      <c r="AG28" s="25">
        <f ca="1">OFFSET(AG$4,ROW($B28)-ROW($B$4),-1,1,1)-OFFSET(Actual!$B$69,0,COLUMN(AG$4)-COLUMN($C$4),1,1)-OFFSET(Actual!$B$58,0,COLUMN(AG$4)-COLUMN($C$4),1,1)</f>
        <v>862334</v>
      </c>
      <c r="AH28" s="25">
        <f ca="1">OFFSET(AH$4,ROW($B28)-ROW($B$4),-1,1,1)-OFFSET(Actual!$B$69,0,COLUMN(AH$4)-COLUMN($C$4),1,1)-OFFSET(Actual!$B$58,0,COLUMN(AH$4)-COLUMN($C$4),1,1)</f>
        <v>845534</v>
      </c>
      <c r="AI28" s="25">
        <f ca="1">OFFSET(AI$4,ROW($B28)-ROW($B$4),-1,1,1)-OFFSET(Actual!$B$69,0,COLUMN(AI$4)-COLUMN($C$4),1,1)-OFFSET(Actual!$B$58,0,COLUMN(AI$4)-COLUMN($C$4),1,1)</f>
        <v>845534</v>
      </c>
      <c r="AJ28" s="25">
        <f ca="1">OFFSET(AJ$4,ROW($B28)-ROW($B$4),-1,1,1)-OFFSET(Actual!$B$69,0,COLUMN(AJ$4)-COLUMN($C$4),1,1)-OFFSET(Actual!$B$58,0,COLUMN(AJ$4)-COLUMN($C$4),1,1)</f>
        <v>845534</v>
      </c>
      <c r="AK28" s="25">
        <f ca="1">OFFSET(AK$4,ROW($B28)-ROW($B$4),-1,1,1)-OFFSET(Actual!$B$69,0,COLUMN(AK$4)-COLUMN($C$4),1,1)-OFFSET(Actual!$B$58,0,COLUMN(AK$4)-COLUMN($C$4),1,1)</f>
        <v>845534</v>
      </c>
      <c r="AL28" s="25">
        <f ca="1">OFFSET(AL$4,ROW($B28)-ROW($B$4),-1,1,1)-OFFSET(Actual!$B$69,0,COLUMN(AL$4)-COLUMN($C$4),1,1)-OFFSET(Actual!$B$58,0,COLUMN(AL$4)-COLUMN($C$4),1,1)</f>
        <v>828734</v>
      </c>
      <c r="AM28" s="25">
        <f ca="1">OFFSET(AM$4,ROW($B28)-ROW($B$4),-1,1,1)-OFFSET(Actual!$B$69,0,COLUMN(AM$4)-COLUMN($C$4),1,1)-OFFSET(Actual!$B$58,0,COLUMN(AM$4)-COLUMN($C$4),1,1)</f>
        <v>828734</v>
      </c>
      <c r="AN28" s="25">
        <f ca="1">OFFSET(AN$4,ROW($B28)-ROW($B$4),-1,1,1)-OFFSET(Actual!$B$69,0,COLUMN(AN$4)-COLUMN($C$4),1,1)-OFFSET(Actual!$B$58,0,COLUMN(AN$4)-COLUMN($C$4),1,1)</f>
        <v>828734</v>
      </c>
      <c r="AO28" s="25">
        <f ca="1">OFFSET(AO$4,ROW($B28)-ROW($B$4),-1,1,1)-OFFSET(Actual!$B$69,0,COLUMN(AO$4)-COLUMN($C$4),1,1)-OFFSET(Actual!$B$58,0,COLUMN(AO$4)-COLUMN($C$4),1,1)</f>
        <v>828734</v>
      </c>
      <c r="AP28" s="25">
        <f ca="1">OFFSET(AP$4,ROW($B28)-ROW($B$4),-1,1,1)-OFFSET(Actual!$B$69,0,COLUMN(AP$4)-COLUMN($C$4),1,1)-OFFSET(Actual!$B$58,0,COLUMN(AP$4)-COLUMN($C$4),1,1)</f>
        <v>811934</v>
      </c>
      <c r="AQ28" s="25">
        <f ca="1">OFFSET(AQ$4,ROW($B28)-ROW($B$4),-1,1,1)-OFFSET(Actual!$B$69,0,COLUMN(AQ$4)-COLUMN($C$4),1,1)-OFFSET(Actual!$B$58,0,COLUMN(AQ$4)-COLUMN($C$4),1,1)</f>
        <v>811934</v>
      </c>
      <c r="AR28" s="25">
        <f ca="1">OFFSET(AR$4,ROW($B28)-ROW($B$4),-1,1,1)-OFFSET(Actual!$B$69,0,COLUMN(AR$4)-COLUMN($C$4),1,1)-OFFSET(Actual!$B$58,0,COLUMN(AR$4)-COLUMN($C$4),1,1)</f>
        <v>811934</v>
      </c>
      <c r="AS28" s="25">
        <f ca="1">OFFSET(AS$4,ROW($B28)-ROW($B$4),-1,1,1)-OFFSET(Actual!$B$69,0,COLUMN(AS$4)-COLUMN($C$4),1,1)-OFFSET(Actual!$B$58,0,COLUMN(AS$4)-COLUMN($C$4),1,1)</f>
        <v>811934</v>
      </c>
      <c r="AT28" s="25">
        <f ca="1">OFFSET(AT$4,ROW($B28)-ROW($B$4),-1,1,1)-OFFSET(Actual!$B$69,0,COLUMN(AT$4)-COLUMN($C$4),1,1)-OFFSET(Actual!$B$58,0,COLUMN(AT$4)-COLUMN($C$4),1,1)</f>
        <v>811934</v>
      </c>
      <c r="AU28" s="25">
        <f ca="1">OFFSET(AU$4,ROW($B28)-ROW($B$4),-1,1,1)-OFFSET(Actual!$B$69,0,COLUMN(AU$4)-COLUMN($C$4),1,1)-OFFSET(Actual!$B$58,0,COLUMN(AU$4)-COLUMN($C$4),1,1)</f>
        <v>795134</v>
      </c>
      <c r="AV28" s="25">
        <f ca="1">OFFSET(AV$4,ROW($B28)-ROW($B$4),-1,1,1)-OFFSET(Actual!$B$69,0,COLUMN(AV$4)-COLUMN($C$4),1,1)-OFFSET(Actual!$B$58,0,COLUMN(AV$4)-COLUMN($C$4),1,1)</f>
        <v>795134</v>
      </c>
      <c r="AW28" s="25">
        <f ca="1">OFFSET(AW$4,ROW($B28)-ROW($B$4),-1,1,1)-OFFSET(Actual!$B$69,0,COLUMN(AW$4)-COLUMN($C$4),1,1)-OFFSET(Actual!$B$58,0,COLUMN(AW$4)-COLUMN($C$4),1,1)</f>
        <v>865134</v>
      </c>
      <c r="AX28" s="25">
        <f ca="1">OFFSET(AX$4,ROW($B28)-ROW($B$4),-1,1,1)-OFFSET(Actual!$B$69,0,COLUMN(AX$4)-COLUMN($C$4),1,1)-OFFSET(Actual!$B$58,0,COLUMN(AX$4)-COLUMN($C$4),1,1)</f>
        <v>865134</v>
      </c>
      <c r="AY28" s="25">
        <f ca="1">OFFSET(AY$4,ROW($B28)-ROW($B$4),-1,1,1)-OFFSET(Actual!$B$69,0,COLUMN(AY$4)-COLUMN($C$4),1,1)-OFFSET(Actual!$B$58,0,COLUMN(AY$4)-COLUMN($C$4),1,1)</f>
        <v>847934</v>
      </c>
      <c r="AZ28" s="25">
        <f ca="1">OFFSET(AZ$4,ROW($B28)-ROW($B$4),-1,1,1)-OFFSET(Actual!$B$69,0,COLUMN(AZ$4)-COLUMN($C$4),1,1)-OFFSET(Actual!$B$58,0,COLUMN(AZ$4)-COLUMN($C$4),1,1)</f>
        <v>847934</v>
      </c>
      <c r="BA28" s="25">
        <f ca="1">OFFSET(BA$4,ROW($B28)-ROW($B$4),-1,1,1)-OFFSET(Actual!$B$69,0,COLUMN(BA$4)-COLUMN($C$4),1,1)-OFFSET(Actual!$B$58,0,COLUMN(BA$4)-COLUMN($C$4),1,1)</f>
        <v>847934</v>
      </c>
      <c r="BB28" s="25">
        <f ca="1">OFFSET(BB$4,ROW($B28)-ROW($B$4),-1,1,1)-OFFSET(Actual!$B$69,0,COLUMN(BB$4)-COLUMN($C$4),1,1)-OFFSET(Actual!$B$58,0,COLUMN(BB$4)-COLUMN($C$4),1,1)</f>
        <v>847934</v>
      </c>
      <c r="BC28" s="25">
        <f ca="1">OFFSET(BC$4,ROW($B28)-ROW($B$4),-1,1,1)-OFFSET(Actual!$B$69,0,COLUMN(BC$4)-COLUMN($C$4),1,1)-OFFSET(Actual!$B$58,0,COLUMN(BC$4)-COLUMN($C$4),1,1)</f>
        <v>830734</v>
      </c>
      <c r="BD28" s="25">
        <f ca="1">OFFSET($B28,0,Assumptions!$B$7+1,1,1)</f>
        <v>838334</v>
      </c>
      <c r="BE28" s="25">
        <f ca="1">OFFSET($B28,0,SUM(Assumptions!$B$7:$B$8)+1,1,1)</f>
        <v>862334</v>
      </c>
      <c r="BF28" s="25">
        <f ca="1">OFFSET($B28,0,SUM(Assumptions!$B$7:$B$9)+1,1,1)</f>
        <v>811934</v>
      </c>
      <c r="BG28" s="25">
        <f ca="1">OFFSET($B28,0,SUM(Assumptions!$B$7:$B$10)+1,1,1)</f>
        <v>830734</v>
      </c>
      <c r="BH28" s="25">
        <f ca="1">BG28</f>
        <v>830734</v>
      </c>
    </row>
    <row r="29" spans="1:60" ht="15" customHeight="1" x14ac:dyDescent="0.35">
      <c r="B29" s="19" t="s">
        <v>36</v>
      </c>
      <c r="C29" s="25"/>
      <c r="D29" s="97"/>
      <c r="E29" s="25"/>
      <c r="F29" s="25"/>
      <c r="G29" s="25"/>
      <c r="H29" s="25"/>
      <c r="I29" s="25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</row>
    <row r="30" spans="1:60" ht="15" customHeight="1" x14ac:dyDescent="0.3">
      <c r="A30" s="96"/>
      <c r="B30" s="15" t="s">
        <v>28</v>
      </c>
      <c r="C30" s="102">
        <f>Assumptions!$B$23</f>
        <v>140000</v>
      </c>
      <c r="D30" s="99">
        <v>170000</v>
      </c>
      <c r="E30" s="25">
        <v>168000</v>
      </c>
      <c r="F30" s="25">
        <v>170000</v>
      </c>
      <c r="G30" s="25">
        <v>172000</v>
      </c>
      <c r="H30" s="25">
        <v>175000</v>
      </c>
      <c r="I30" s="25">
        <v>181000</v>
      </c>
      <c r="J30" s="25">
        <v>175000</v>
      </c>
      <c r="K30" s="25">
        <v>173000</v>
      </c>
      <c r="L30" s="25">
        <v>174500</v>
      </c>
      <c r="M30" s="25">
        <v>181000</v>
      </c>
      <c r="N30" s="25">
        <v>186000</v>
      </c>
      <c r="O30" s="25">
        <v>186500</v>
      </c>
      <c r="P30" s="25">
        <v>180700</v>
      </c>
      <c r="Q30" s="25">
        <v>183900</v>
      </c>
      <c r="R30" s="25">
        <v>185000</v>
      </c>
      <c r="S30" s="25">
        <v>188300</v>
      </c>
      <c r="T30" s="25">
        <v>189500</v>
      </c>
      <c r="U30" s="25">
        <v>185600</v>
      </c>
      <c r="V30" s="25">
        <v>185500</v>
      </c>
      <c r="W30" s="25">
        <v>190000</v>
      </c>
      <c r="X30" s="25">
        <v>192200</v>
      </c>
      <c r="Y30" s="25">
        <v>195000</v>
      </c>
      <c r="Z30" s="25">
        <v>192600</v>
      </c>
      <c r="AA30" s="25">
        <v>195200</v>
      </c>
      <c r="AB30" s="25">
        <v>195620</v>
      </c>
      <c r="AC30" s="25">
        <v>198400</v>
      </c>
      <c r="AD30" s="25">
        <v>195300</v>
      </c>
      <c r="AE30" s="25">
        <v>195500</v>
      </c>
      <c r="AF30" s="25">
        <v>200000</v>
      </c>
      <c r="AG30" s="25">
        <v>206670</v>
      </c>
      <c r="AH30" s="25">
        <v>217000</v>
      </c>
      <c r="AI30" s="25">
        <v>225000</v>
      </c>
      <c r="AJ30" s="25">
        <v>224200</v>
      </c>
      <c r="AK30" s="25">
        <v>221900</v>
      </c>
      <c r="AL30" s="25">
        <v>219000</v>
      </c>
      <c r="AM30" s="25">
        <v>218000</v>
      </c>
      <c r="AN30" s="25">
        <v>221400</v>
      </c>
      <c r="AO30" s="25">
        <v>220700</v>
      </c>
      <c r="AP30" s="25">
        <v>212620</v>
      </c>
      <c r="AQ30" s="25">
        <v>205820</v>
      </c>
      <c r="AR30" s="25">
        <v>193200</v>
      </c>
      <c r="AS30" s="25">
        <v>178700</v>
      </c>
      <c r="AT30" s="25">
        <v>163500</v>
      </c>
      <c r="AU30" s="25">
        <v>144000</v>
      </c>
      <c r="AV30" s="25">
        <v>127000</v>
      </c>
      <c r="AW30" s="25">
        <v>139000</v>
      </c>
      <c r="AX30" s="25">
        <v>165000</v>
      </c>
      <c r="AY30" s="25">
        <v>196000</v>
      </c>
      <c r="AZ30" s="25">
        <v>222000</v>
      </c>
      <c r="BA30" s="25">
        <v>230000</v>
      </c>
      <c r="BB30" s="25">
        <v>225600</v>
      </c>
      <c r="BC30" s="25">
        <v>223700</v>
      </c>
      <c r="BD30" s="25">
        <f ca="1">OFFSET($B30,0,Assumptions!$B$7+1,1,1)</f>
        <v>180700</v>
      </c>
      <c r="BE30" s="25">
        <f ca="1">OFFSET($B30,0,SUM(Assumptions!$B$7:$B$8)+1,1,1)</f>
        <v>198400</v>
      </c>
      <c r="BF30" s="25">
        <f ca="1">OFFSET($B30,0,SUM(Assumptions!$B$7:$B$9)+1,1,1)</f>
        <v>212620</v>
      </c>
      <c r="BG30" s="25">
        <f ca="1">OFFSET($B30,0,SUM(Assumptions!$B$7:$B$10)+1,1,1)</f>
        <v>223700</v>
      </c>
      <c r="BH30" s="25">
        <f ca="1">BG30</f>
        <v>223700</v>
      </c>
    </row>
    <row r="31" spans="1:60" ht="15" customHeight="1" x14ac:dyDescent="0.3">
      <c r="A31" s="96"/>
      <c r="B31" s="15" t="s">
        <v>84</v>
      </c>
      <c r="C31" s="102">
        <f>Assumptions!$B$24</f>
        <v>250000</v>
      </c>
      <c r="D31" s="99">
        <v>310700</v>
      </c>
      <c r="E31" s="85">
        <v>314300</v>
      </c>
      <c r="F31" s="85">
        <v>326800</v>
      </c>
      <c r="G31" s="85">
        <v>327900</v>
      </c>
      <c r="H31" s="85">
        <v>327900</v>
      </c>
      <c r="I31" s="85">
        <v>337100</v>
      </c>
      <c r="J31" s="85">
        <v>334200</v>
      </c>
      <c r="K31" s="85">
        <v>332000</v>
      </c>
      <c r="L31" s="85">
        <v>332600</v>
      </c>
      <c r="M31" s="85">
        <v>338700</v>
      </c>
      <c r="N31" s="85">
        <v>349800</v>
      </c>
      <c r="O31" s="85">
        <v>352900</v>
      </c>
      <c r="P31" s="85">
        <v>346400</v>
      </c>
      <c r="Q31" s="85">
        <v>352300</v>
      </c>
      <c r="R31" s="85">
        <v>353700</v>
      </c>
      <c r="S31" s="85">
        <v>355400</v>
      </c>
      <c r="T31" s="85">
        <v>362300</v>
      </c>
      <c r="U31" s="85">
        <v>357600</v>
      </c>
      <c r="V31" s="85">
        <v>355500</v>
      </c>
      <c r="W31" s="85">
        <v>362300</v>
      </c>
      <c r="X31" s="85">
        <v>365100</v>
      </c>
      <c r="Y31" s="85">
        <v>370800</v>
      </c>
      <c r="Z31" s="85">
        <v>369900</v>
      </c>
      <c r="AA31" s="85">
        <v>377200</v>
      </c>
      <c r="AB31" s="85">
        <v>380000</v>
      </c>
      <c r="AC31" s="85">
        <v>386100</v>
      </c>
      <c r="AD31" s="25">
        <v>386800</v>
      </c>
      <c r="AE31" s="25">
        <v>388400</v>
      </c>
      <c r="AF31" s="25">
        <v>394800</v>
      </c>
      <c r="AG31" s="25">
        <v>403900</v>
      </c>
      <c r="AH31" s="25">
        <v>422300</v>
      </c>
      <c r="AI31" s="25">
        <v>439900</v>
      </c>
      <c r="AJ31" s="25">
        <v>442100</v>
      </c>
      <c r="AK31" s="25">
        <v>441400</v>
      </c>
      <c r="AL31" s="25">
        <v>439900</v>
      </c>
      <c r="AM31" s="25">
        <v>435700</v>
      </c>
      <c r="AN31" s="25">
        <v>438700</v>
      </c>
      <c r="AO31" s="25">
        <v>439100</v>
      </c>
      <c r="AP31" s="25">
        <v>426900</v>
      </c>
      <c r="AQ31" s="25">
        <v>416300</v>
      </c>
      <c r="AR31" s="25">
        <v>394600</v>
      </c>
      <c r="AS31" s="25">
        <v>365500</v>
      </c>
      <c r="AT31" s="25">
        <v>339300</v>
      </c>
      <c r="AU31" s="25">
        <v>303300</v>
      </c>
      <c r="AV31" s="25">
        <v>267900</v>
      </c>
      <c r="AW31" s="25">
        <v>282100</v>
      </c>
      <c r="AX31" s="25">
        <v>319900</v>
      </c>
      <c r="AY31" s="25">
        <v>366900</v>
      </c>
      <c r="AZ31" s="25">
        <v>425400</v>
      </c>
      <c r="BA31" s="25">
        <v>456200</v>
      </c>
      <c r="BB31" s="25">
        <v>454800</v>
      </c>
      <c r="BC31" s="25">
        <v>453500</v>
      </c>
      <c r="BD31" s="25">
        <f ca="1">OFFSET($B31,0,Assumptions!$B$7+1,1,1)</f>
        <v>346400</v>
      </c>
      <c r="BE31" s="25">
        <f ca="1">OFFSET($B31,0,SUM(Assumptions!$B$7:$B$8)+1,1,1)</f>
        <v>386100</v>
      </c>
      <c r="BF31" s="25">
        <f ca="1">OFFSET($B31,0,SUM(Assumptions!$B$7:$B$9)+1,1,1)</f>
        <v>426900</v>
      </c>
      <c r="BG31" s="25">
        <f ca="1">OFFSET($B31,0,SUM(Assumptions!$B$7:$B$10)+1,1,1)</f>
        <v>453500</v>
      </c>
      <c r="BH31" s="25">
        <f ca="1">BG31</f>
        <v>453500</v>
      </c>
    </row>
    <row r="32" spans="1:60" ht="15" customHeight="1" x14ac:dyDescent="0.3">
      <c r="B32" s="15" t="s">
        <v>37</v>
      </c>
      <c r="C32" s="102">
        <f>Assumptions!$B$25</f>
        <v>21000</v>
      </c>
      <c r="D32" s="97">
        <f ca="1">OFFSET(Actual!$B$82,0,COLUMN(D$4)-COLUMN($C$4),1,1)</f>
        <v>-44200</v>
      </c>
      <c r="E32" s="25">
        <f ca="1">OFFSET(Actual!$B$82,0,COLUMN(E$4)-COLUMN($C$4),1,1)</f>
        <v>-49009</v>
      </c>
      <c r="F32" s="25">
        <f ca="1">OFFSET(Actual!$B$82,0,COLUMN(F$4)-COLUMN($C$4),1,1)</f>
        <v>-59274</v>
      </c>
      <c r="G32" s="25">
        <f ca="1">OFFSET(Actual!$B$82,0,COLUMN(G$4)-COLUMN($C$4),1,1)</f>
        <v>-27749</v>
      </c>
      <c r="H32" s="25">
        <f ca="1">OFFSET(Actual!$B$82,0,COLUMN(H$4)-COLUMN($C$4),1,1)</f>
        <v>-8098</v>
      </c>
      <c r="I32" s="25">
        <f ca="1">OFFSET(Actual!$B$82,0,COLUMN(I$4)-COLUMN($C$4),1,1)</f>
        <v>-27244</v>
      </c>
      <c r="J32" s="25">
        <f ca="1">OFFSET(Actual!$B$82,0,COLUMN(J$4)-COLUMN($C$4),1,1)</f>
        <v>-17540</v>
      </c>
      <c r="K32" s="25">
        <f ca="1">OFFSET(Actual!$B$82,0,COLUMN(K$4)-COLUMN($C$4),1,1)</f>
        <v>-8020</v>
      </c>
      <c r="L32" s="25">
        <f ca="1">OFFSET(Actual!$B$82,0,COLUMN(L$4)-COLUMN($C$4),1,1)</f>
        <v>15857</v>
      </c>
      <c r="M32" s="25">
        <f ca="1">OFFSET(Actual!$B$82,0,COLUMN(M$4)-COLUMN($C$4),1,1)</f>
        <v>20037</v>
      </c>
      <c r="N32" s="25">
        <f ca="1">OFFSET(Actual!$B$82,0,COLUMN(N$4)-COLUMN($C$4),1,1)</f>
        <v>-7133</v>
      </c>
      <c r="O32" s="25">
        <f ca="1">OFFSET(Actual!$B$82,0,COLUMN(O$4)-COLUMN($C$4),1,1)</f>
        <v>-5893</v>
      </c>
      <c r="P32" s="25">
        <f ca="1">OFFSET(Actual!$B$82,0,COLUMN(P$4)-COLUMN($C$4),1,1)</f>
        <v>-10817</v>
      </c>
      <c r="Q32" s="25">
        <f ca="1">OFFSET(Actual!$B$82,0,COLUMN(Q$4)-COLUMN($C$4),1,1)</f>
        <v>-6747</v>
      </c>
      <c r="R32" s="25">
        <f ca="1">OFFSET(Actual!$B$82,0,COLUMN(R$4)-COLUMN($C$4),1,1)</f>
        <v>-27509</v>
      </c>
      <c r="S32" s="25">
        <f ca="1">OFFSET(Actual!$B$82,0,COLUMN(S$4)-COLUMN($C$4),1,1)</f>
        <v>-25556.5</v>
      </c>
      <c r="T32" s="25">
        <f ca="1">OFFSET(Actual!$B$82,0,COLUMN(T$4)-COLUMN($C$4),1,1)</f>
        <v>-14448.3</v>
      </c>
      <c r="U32" s="25">
        <f ca="1">OFFSET(Actual!$B$82,0,COLUMN(U$4)-COLUMN($C$4),1,1)</f>
        <v>16065.7</v>
      </c>
      <c r="V32" s="25">
        <f ca="1">OFFSET(Actual!$B$82,0,COLUMN(V$4)-COLUMN($C$4),1,1)</f>
        <v>8734.6000000000022</v>
      </c>
      <c r="W32" s="25">
        <f ca="1">OFFSET(Actual!$B$82,0,COLUMN(W$4)-COLUMN($C$4),1,1)</f>
        <v>20774.600000000002</v>
      </c>
      <c r="X32" s="25">
        <f ca="1">OFFSET(Actual!$B$82,0,COLUMN(X$4)-COLUMN($C$4),1,1)</f>
        <v>25832.600000000002</v>
      </c>
      <c r="Y32" s="25">
        <f ca="1">OFFSET(Actual!$B$82,0,COLUMN(Y$4)-COLUMN($C$4),1,1)</f>
        <v>39315.15</v>
      </c>
      <c r="Z32" s="25">
        <f ca="1">OFFSET(Actual!$B$82,0,COLUMN(Z$4)-COLUMN($C$4),1,1)</f>
        <v>3257.8100000000049</v>
      </c>
      <c r="AA32" s="25">
        <f ca="1">OFFSET(Actual!$B$82,0,COLUMN(AA$4)-COLUMN($C$4),1,1)</f>
        <v>-8866.2699999999968</v>
      </c>
      <c r="AB32" s="25">
        <f ca="1">OFFSET(Actual!$B$82,0,COLUMN(AB$4)-COLUMN($C$4),1,1)</f>
        <v>7773.7300000000032</v>
      </c>
      <c r="AC32" s="25">
        <f ca="1">OFFSET(Actual!$B$82,0,COLUMN(AC$4)-COLUMN($C$4),1,1)</f>
        <v>-52871.154399999992</v>
      </c>
      <c r="AD32" s="25">
        <f ca="1">OFFSET(Actual!$B$82,0,COLUMN(AD$4)-COLUMN($C$4),1,1)</f>
        <v>-34938.754399999991</v>
      </c>
      <c r="AE32" s="25">
        <f ca="1">OFFSET(Actual!$B$82,0,COLUMN(AE$4)-COLUMN($C$4),1,1)</f>
        <v>-49570.754399999991</v>
      </c>
      <c r="AF32" s="25">
        <f ca="1">OFFSET(Actual!$B$82,0,COLUMN(AF$4)-COLUMN($C$4),1,1)</f>
        <v>-34628.754399999991</v>
      </c>
      <c r="AG32" s="25">
        <f ca="1">OFFSET(Actual!$B$82,0,COLUMN(AG$4)-COLUMN($C$4),1,1)</f>
        <v>-14925.954399999988</v>
      </c>
      <c r="AH32" s="25">
        <f ca="1">OFFSET(Actual!$B$82,0,COLUMN(AH$4)-COLUMN($C$4),1,1)</f>
        <v>-4857.3543999999893</v>
      </c>
      <c r="AI32" s="25">
        <f ca="1">OFFSET(Actual!$B$82,0,COLUMN(AI$4)-COLUMN($C$4),1,1)</f>
        <v>-15148.954399999988</v>
      </c>
      <c r="AJ32" s="25">
        <f ca="1">OFFSET(Actual!$B$82,0,COLUMN(AJ$4)-COLUMN($C$4),1,1)</f>
        <v>3393.2456000000166</v>
      </c>
      <c r="AK32" s="25">
        <f ca="1">OFFSET(Actual!$B$82,0,COLUMN(AK$4)-COLUMN($C$4),1,1)</f>
        <v>13314.045600000019</v>
      </c>
      <c r="AL32" s="25">
        <f ca="1">OFFSET(Actual!$B$82,0,COLUMN(AL$4)-COLUMN($C$4),1,1)</f>
        <v>48659.745600000024</v>
      </c>
      <c r="AM32" s="25">
        <f ca="1">OFFSET(Actual!$B$82,0,COLUMN(AM$4)-COLUMN($C$4),1,1)</f>
        <v>84232.745600000024</v>
      </c>
      <c r="AN32" s="25">
        <f ca="1">OFFSET(Actual!$B$82,0,COLUMN(AN$4)-COLUMN($C$4),1,1)</f>
        <v>69962.34560000003</v>
      </c>
      <c r="AO32" s="25">
        <f ca="1">OFFSET(Actual!$B$82,0,COLUMN(AO$4)-COLUMN($C$4),1,1)</f>
        <v>85990.70560000003</v>
      </c>
      <c r="AP32" s="25">
        <f ca="1">OFFSET(Actual!$B$82,0,COLUMN(AP$4)-COLUMN($C$4),1,1)</f>
        <v>123578.62560000003</v>
      </c>
      <c r="AQ32" s="25">
        <f ca="1">OFFSET(Actual!$B$82,0,COLUMN(AQ$4)-COLUMN($C$4),1,1)</f>
        <v>164777.20560000004</v>
      </c>
      <c r="AR32" s="25">
        <f ca="1">OFFSET(Actual!$B$82,0,COLUMN(AR$4)-COLUMN($C$4),1,1)</f>
        <v>168368.20560000004</v>
      </c>
      <c r="AS32" s="25">
        <f ca="1">OFFSET(Actual!$B$82,0,COLUMN(AS$4)-COLUMN($C$4),1,1)</f>
        <v>217458.70560000004</v>
      </c>
      <c r="AT32" s="25">
        <f ca="1">OFFSET(Actual!$B$82,0,COLUMN(AT$4)-COLUMN($C$4),1,1)</f>
        <v>257190.20560000004</v>
      </c>
      <c r="AU32" s="25">
        <f ca="1">OFFSET(Actual!$B$82,0,COLUMN(AU$4)-COLUMN($C$4),1,1)</f>
        <v>299610.20560000004</v>
      </c>
      <c r="AV32" s="25">
        <f ca="1">OFFSET(Actual!$B$82,0,COLUMN(AV$4)-COLUMN($C$4),1,1)</f>
        <v>349490.70560000004</v>
      </c>
      <c r="AW32" s="25">
        <f ca="1">OFFSET(Actual!$B$82,0,COLUMN(AW$4)-COLUMN($C$4),1,1)</f>
        <v>268813.20560000004</v>
      </c>
      <c r="AX32" s="25">
        <f ca="1">OFFSET(Actual!$B$82,0,COLUMN(AX$4)-COLUMN($C$4),1,1)</f>
        <v>261254.10560000004</v>
      </c>
      <c r="AY32" s="25">
        <f ca="1">OFFSET(Actual!$B$82,0,COLUMN(AY$4)-COLUMN($C$4),1,1)</f>
        <v>230066.00560000003</v>
      </c>
      <c r="AZ32" s="25">
        <f ca="1">OFFSET(Actual!$B$82,0,COLUMN(AZ$4)-COLUMN($C$4),1,1)</f>
        <v>187587.00560000003</v>
      </c>
      <c r="BA32" s="25">
        <f ca="1">OFFSET(Actual!$B$82,0,COLUMN(BA$4)-COLUMN($C$4),1,1)</f>
        <v>143104.50560000003</v>
      </c>
      <c r="BB32" s="25">
        <f ca="1">OFFSET(Actual!$B$82,0,COLUMN(BB$4)-COLUMN($C$4),1,1)</f>
        <v>162130.00560000003</v>
      </c>
      <c r="BC32" s="25">
        <f ca="1">OFFSET(Actual!$B$82,0,COLUMN(BC$4)-COLUMN($C$4),1,1)</f>
        <v>83116.904800000018</v>
      </c>
      <c r="BD32" s="25">
        <f ca="1">OFFSET($B32,0,Assumptions!$B$7+1,1,1)</f>
        <v>-10817</v>
      </c>
      <c r="BE32" s="25">
        <f ca="1">OFFSET($B32,0,SUM(Assumptions!$B$7:$B$8)+1,1,1)</f>
        <v>-52871.154399999992</v>
      </c>
      <c r="BF32" s="25">
        <f ca="1">OFFSET($B32,0,SUM(Assumptions!$B$7:$B$9)+1,1,1)</f>
        <v>123578.62560000003</v>
      </c>
      <c r="BG32" s="25">
        <f ca="1">OFFSET($B32,0,SUM(Assumptions!$B$7:$B$10)+1,1,1)</f>
        <v>83116.904800000018</v>
      </c>
      <c r="BH32" s="25">
        <f ca="1">BG32</f>
        <v>83116.904800000018</v>
      </c>
    </row>
    <row r="33" spans="1:60" ht="15" customHeight="1" thickBot="1" x14ac:dyDescent="0.4">
      <c r="A33" s="11"/>
      <c r="B33" s="2"/>
      <c r="C33" s="35">
        <f>SUM(C28:C32)</f>
        <v>1211000</v>
      </c>
      <c r="D33" s="100">
        <f ca="1">SUM(D28:D32)</f>
        <v>1236500</v>
      </c>
      <c r="E33" s="35">
        <f t="shared" ref="E33:BC33" ca="1" si="5">SUM(E28:E32)</f>
        <v>1233291</v>
      </c>
      <c r="F33" s="35">
        <f t="shared" ca="1" si="5"/>
        <v>1237526</v>
      </c>
      <c r="G33" s="35">
        <f t="shared" ca="1" si="5"/>
        <v>1272151</v>
      </c>
      <c r="H33" s="35">
        <f t="shared" ca="1" si="5"/>
        <v>1281469</v>
      </c>
      <c r="I33" s="35">
        <f t="shared" ca="1" si="5"/>
        <v>1277523</v>
      </c>
      <c r="J33" s="35">
        <f t="shared" ca="1" si="5"/>
        <v>1278327</v>
      </c>
      <c r="K33" s="35">
        <f t="shared" ca="1" si="5"/>
        <v>1283647</v>
      </c>
      <c r="L33" s="35">
        <f t="shared" ca="1" si="5"/>
        <v>1296291</v>
      </c>
      <c r="M33" s="35">
        <f t="shared" ca="1" si="5"/>
        <v>1313071</v>
      </c>
      <c r="N33" s="35">
        <f t="shared" ca="1" si="5"/>
        <v>1302001</v>
      </c>
      <c r="O33" s="35">
        <f t="shared" ca="1" si="5"/>
        <v>1306841</v>
      </c>
      <c r="P33" s="35">
        <f t="shared" ca="1" si="5"/>
        <v>1354617</v>
      </c>
      <c r="Q33" s="35">
        <f t="shared" ca="1" si="5"/>
        <v>1387787</v>
      </c>
      <c r="R33" s="35">
        <f t="shared" ca="1" si="5"/>
        <v>1369525</v>
      </c>
      <c r="S33" s="35">
        <f t="shared" ca="1" si="5"/>
        <v>1376477.5</v>
      </c>
      <c r="T33" s="35">
        <f t="shared" ca="1" si="5"/>
        <v>1395685.7</v>
      </c>
      <c r="U33" s="35">
        <f t="shared" ca="1" si="5"/>
        <v>1402599.7</v>
      </c>
      <c r="V33" s="35">
        <f t="shared" ca="1" si="5"/>
        <v>1393068.6</v>
      </c>
      <c r="W33" s="35">
        <f t="shared" ca="1" si="5"/>
        <v>1416408.6</v>
      </c>
      <c r="X33" s="35">
        <f t="shared" ca="1" si="5"/>
        <v>1426466.6</v>
      </c>
      <c r="Y33" s="35">
        <f t="shared" ca="1" si="5"/>
        <v>1433449.15</v>
      </c>
      <c r="Z33" s="35">
        <f t="shared" ca="1" si="5"/>
        <v>1444091.81</v>
      </c>
      <c r="AA33" s="35">
        <f t="shared" ca="1" si="5"/>
        <v>1441867.73</v>
      </c>
      <c r="AB33" s="35">
        <f t="shared" ca="1" si="5"/>
        <v>1461727.73</v>
      </c>
      <c r="AC33" s="35">
        <f t="shared" ca="1" si="5"/>
        <v>1393962.8456000001</v>
      </c>
      <c r="AD33" s="35">
        <f t="shared" ca="1" si="5"/>
        <v>1409495.2456</v>
      </c>
      <c r="AE33" s="35">
        <f t="shared" ca="1" si="5"/>
        <v>1396663.2456</v>
      </c>
      <c r="AF33" s="35">
        <f t="shared" ca="1" si="5"/>
        <v>1422505.2456</v>
      </c>
      <c r="AG33" s="35">
        <f t="shared" ca="1" si="5"/>
        <v>1457978.0456000001</v>
      </c>
      <c r="AH33" s="35">
        <f t="shared" ca="1" si="5"/>
        <v>1479976.6455999999</v>
      </c>
      <c r="AI33" s="35">
        <f t="shared" ca="1" si="5"/>
        <v>1495285.0456000001</v>
      </c>
      <c r="AJ33" s="35">
        <f t="shared" ca="1" si="5"/>
        <v>1515227.2456</v>
      </c>
      <c r="AK33" s="35">
        <f t="shared" ca="1" si="5"/>
        <v>1522148.0456000001</v>
      </c>
      <c r="AL33" s="35">
        <f t="shared" ca="1" si="5"/>
        <v>1536293.7456</v>
      </c>
      <c r="AM33" s="35">
        <f t="shared" ca="1" si="5"/>
        <v>1566666.7456</v>
      </c>
      <c r="AN33" s="35">
        <f t="shared" ca="1" si="5"/>
        <v>1558796.3456000001</v>
      </c>
      <c r="AO33" s="35">
        <f t="shared" ca="1" si="5"/>
        <v>1574524.7056</v>
      </c>
      <c r="AP33" s="35">
        <f t="shared" ca="1" si="5"/>
        <v>1575032.6255999999</v>
      </c>
      <c r="AQ33" s="35">
        <f t="shared" ca="1" si="5"/>
        <v>1598831.2056</v>
      </c>
      <c r="AR33" s="35">
        <f t="shared" ca="1" si="5"/>
        <v>1568102.2056</v>
      </c>
      <c r="AS33" s="35">
        <f t="shared" ca="1" si="5"/>
        <v>1573592.7056</v>
      </c>
      <c r="AT33" s="35">
        <f t="shared" ca="1" si="5"/>
        <v>1571924.2056</v>
      </c>
      <c r="AU33" s="35">
        <f t="shared" ca="1" si="5"/>
        <v>1542044.2056</v>
      </c>
      <c r="AV33" s="35">
        <f t="shared" ca="1" si="5"/>
        <v>1539524.7056</v>
      </c>
      <c r="AW33" s="35">
        <f t="shared" ca="1" si="5"/>
        <v>1555047.2056</v>
      </c>
      <c r="AX33" s="35">
        <f t="shared" ca="1" si="5"/>
        <v>1611288.1056000001</v>
      </c>
      <c r="AY33" s="35">
        <f t="shared" ca="1" si="5"/>
        <v>1640900.0056</v>
      </c>
      <c r="AZ33" s="35">
        <f t="shared" ca="1" si="5"/>
        <v>1682921.0056</v>
      </c>
      <c r="BA33" s="35">
        <f t="shared" ca="1" si="5"/>
        <v>1677238.5056</v>
      </c>
      <c r="BB33" s="35">
        <f t="shared" ca="1" si="5"/>
        <v>1690464.0056</v>
      </c>
      <c r="BC33" s="35">
        <f t="shared" ca="1" si="5"/>
        <v>1591050.9048000001</v>
      </c>
      <c r="BD33" s="35">
        <f ca="1">SUM(BD28:BD32)</f>
        <v>1354617</v>
      </c>
      <c r="BE33" s="35">
        <f ca="1">SUM(BE28:BE32)</f>
        <v>1393962.8456000001</v>
      </c>
      <c r="BF33" s="35">
        <f ca="1">SUM(BF28:BF32)</f>
        <v>1575032.6255999999</v>
      </c>
      <c r="BG33" s="35">
        <f ca="1">SUM(BG28:BG32)</f>
        <v>1591050.9048000001</v>
      </c>
      <c r="BH33" s="35">
        <f ca="1">SUM(BH28:BH32)</f>
        <v>1591050.9048000001</v>
      </c>
    </row>
    <row r="34" spans="1:60" ht="15" customHeight="1" thickTop="1" x14ac:dyDescent="0.35">
      <c r="B34" s="2" t="s">
        <v>38</v>
      </c>
      <c r="C34" s="25"/>
      <c r="D34" s="97"/>
      <c r="E34" s="25"/>
      <c r="F34" s="25"/>
      <c r="G34" s="25"/>
      <c r="H34" s="25"/>
      <c r="I34" s="25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</row>
    <row r="35" spans="1:60" ht="15" customHeight="1" x14ac:dyDescent="0.3">
      <c r="A35" s="96"/>
      <c r="B35" s="7" t="s">
        <v>0</v>
      </c>
      <c r="C35" s="102">
        <f>-Assumptions!$B$26</f>
        <v>1000</v>
      </c>
      <c r="D35" s="97">
        <v>1000</v>
      </c>
      <c r="E35" s="25">
        <v>1000</v>
      </c>
      <c r="F35" s="25">
        <v>1000</v>
      </c>
      <c r="G35" s="25">
        <v>1000</v>
      </c>
      <c r="H35" s="25">
        <v>1000</v>
      </c>
      <c r="I35" s="25">
        <v>1000</v>
      </c>
      <c r="J35" s="25">
        <v>1000</v>
      </c>
      <c r="K35" s="25">
        <v>1000</v>
      </c>
      <c r="L35" s="25">
        <v>1000</v>
      </c>
      <c r="M35" s="25">
        <v>1000</v>
      </c>
      <c r="N35" s="25">
        <v>1000</v>
      </c>
      <c r="O35" s="25">
        <v>1000</v>
      </c>
      <c r="P35" s="25">
        <v>1000</v>
      </c>
      <c r="Q35" s="25">
        <v>1000</v>
      </c>
      <c r="R35" s="25">
        <v>1000</v>
      </c>
      <c r="S35" s="25">
        <v>1000</v>
      </c>
      <c r="T35" s="25">
        <v>1000</v>
      </c>
      <c r="U35" s="25">
        <v>1000</v>
      </c>
      <c r="V35" s="25">
        <v>1000</v>
      </c>
      <c r="W35" s="25">
        <v>1000</v>
      </c>
      <c r="X35" s="25">
        <v>1000</v>
      </c>
      <c r="Y35" s="25">
        <v>1000</v>
      </c>
      <c r="Z35" s="25">
        <v>1000</v>
      </c>
      <c r="AA35" s="25">
        <v>1000</v>
      </c>
      <c r="AB35" s="25">
        <v>1000</v>
      </c>
      <c r="AC35" s="25">
        <v>1000</v>
      </c>
      <c r="AD35" s="25">
        <v>1000</v>
      </c>
      <c r="AE35" s="25">
        <v>1000</v>
      </c>
      <c r="AF35" s="25">
        <v>1000</v>
      </c>
      <c r="AG35" s="25">
        <v>1000</v>
      </c>
      <c r="AH35" s="25">
        <v>1000</v>
      </c>
      <c r="AI35" s="25">
        <v>1000</v>
      </c>
      <c r="AJ35" s="25">
        <v>1000</v>
      </c>
      <c r="AK35" s="25">
        <v>1000</v>
      </c>
      <c r="AL35" s="25">
        <v>1000</v>
      </c>
      <c r="AM35" s="25">
        <v>1000</v>
      </c>
      <c r="AN35" s="25">
        <v>1000</v>
      </c>
      <c r="AO35" s="25">
        <v>1000</v>
      </c>
      <c r="AP35" s="25">
        <v>1000</v>
      </c>
      <c r="AQ35" s="25">
        <v>1000</v>
      </c>
      <c r="AR35" s="25">
        <v>1000</v>
      </c>
      <c r="AS35" s="25">
        <v>1000</v>
      </c>
      <c r="AT35" s="25">
        <v>1000</v>
      </c>
      <c r="AU35" s="25">
        <v>1000</v>
      </c>
      <c r="AV35" s="25">
        <v>1000</v>
      </c>
      <c r="AW35" s="25">
        <v>1000</v>
      </c>
      <c r="AX35" s="25">
        <v>1000</v>
      </c>
      <c r="AY35" s="25">
        <v>1000</v>
      </c>
      <c r="AZ35" s="25">
        <v>1000</v>
      </c>
      <c r="BA35" s="25">
        <v>1000</v>
      </c>
      <c r="BB35" s="25">
        <v>1000</v>
      </c>
      <c r="BC35" s="25">
        <v>1000</v>
      </c>
      <c r="BD35" s="25">
        <f ca="1">OFFSET($B35,0,Assumptions!$B$7+1,1,1)</f>
        <v>1000</v>
      </c>
      <c r="BE35" s="25">
        <f ca="1">OFFSET($B35,0,SUM(Assumptions!$B$7:$B$8)+1,1,1)</f>
        <v>1000</v>
      </c>
      <c r="BF35" s="25">
        <f ca="1">OFFSET($B35,0,SUM(Assumptions!$B$7:$B$9)+1,1,1)</f>
        <v>1000</v>
      </c>
      <c r="BG35" s="25">
        <f ca="1">OFFSET($B35,0,SUM(Assumptions!$B$7:$B$10)+1,1,1)</f>
        <v>1000</v>
      </c>
      <c r="BH35" s="25">
        <f ca="1">BG35</f>
        <v>1000</v>
      </c>
    </row>
    <row r="36" spans="1:60" ht="15" customHeight="1" x14ac:dyDescent="0.3">
      <c r="B36" s="7" t="s">
        <v>39</v>
      </c>
      <c r="C36" s="102">
        <f>-Assumptions!$B$27</f>
        <v>0</v>
      </c>
      <c r="D36" s="97">
        <f ca="1">OFFSET(D$4,ROW($B36)-ROW($B$4),-1,1,1)+OFFSET(Actual!$B$45,0,COLUMN(D$4)-COLUMN($C$4),1,1)</f>
        <v>6696</v>
      </c>
      <c r="E36" s="25">
        <f ca="1">OFFSET(E$4,ROW($B36)-ROW($B$4),-1,1,1)+OFFSET(Actual!$B$45,0,COLUMN(E$4)-COLUMN($C$4),1,1)</f>
        <v>13662</v>
      </c>
      <c r="F36" s="25">
        <f ca="1">OFFSET(F$4,ROW($B36)-ROW($B$4),-1,1,1)+OFFSET(Actual!$B$45,0,COLUMN(F$4)-COLUMN($C$4),1,1)</f>
        <v>25207.200000000001</v>
      </c>
      <c r="G36" s="25">
        <f ca="1">OFFSET(G$4,ROW($B36)-ROW($B$4),-1,1,1)+OFFSET(Actual!$B$45,0,COLUMN(G$4)-COLUMN($C$4),1,1)</f>
        <v>43369.2</v>
      </c>
      <c r="H36" s="25">
        <f ca="1">OFFSET(H$4,ROW($B36)-ROW($B$4),-1,1,1)+OFFSET(Actual!$B$45,0,COLUMN(H$4)-COLUMN($C$4),1,1)</f>
        <v>41006.159999999996</v>
      </c>
      <c r="I36" s="25">
        <f ca="1">OFFSET(I$4,ROW($B36)-ROW($B$4),-1,1,1)+OFFSET(Actual!$B$45,0,COLUMN(I$4)-COLUMN($C$4),1,1)</f>
        <v>37368.720000000001</v>
      </c>
      <c r="J36" s="25">
        <f ca="1">OFFSET(J$4,ROW($B36)-ROW($B$4),-1,1,1)+OFFSET(Actual!$B$45,0,COLUMN(J$4)-COLUMN($C$4),1,1)</f>
        <v>49179.6</v>
      </c>
      <c r="K36" s="25">
        <f ca="1">OFFSET(K$4,ROW($B36)-ROW($B$4),-1,1,1)+OFFSET(Actual!$B$45,0,COLUMN(K$4)-COLUMN($C$4),1,1)</f>
        <v>55818</v>
      </c>
      <c r="L36" s="25">
        <f ca="1">OFFSET(L$4,ROW($B36)-ROW($B$4),-1,1,1)+OFFSET(Actual!$B$45,0,COLUMN(L$4)-COLUMN($C$4),1,1)</f>
        <v>53977.68</v>
      </c>
      <c r="M36" s="25">
        <f ca="1">OFFSET(M$4,ROW($B36)-ROW($B$4),-1,1,1)+OFFSET(Actual!$B$45,0,COLUMN(M$4)-COLUMN($C$4),1,1)</f>
        <v>60587.28</v>
      </c>
      <c r="N36" s="25">
        <f ca="1">OFFSET(N$4,ROW($B36)-ROW($B$4),-1,1,1)+OFFSET(Actual!$B$45,0,COLUMN(N$4)-COLUMN($C$4),1,1)</f>
        <v>71411.759999999995</v>
      </c>
      <c r="O36" s="25">
        <f ca="1">OFFSET(O$4,ROW($B36)-ROW($B$4),-1,1,1)+OFFSET(Actual!$B$45,0,COLUMN(O$4)-COLUMN($C$4),1,1)</f>
        <v>88432.56</v>
      </c>
      <c r="P36" s="25">
        <f ca="1">OFFSET(P$4,ROW($B36)-ROW($B$4),-1,1,1)+OFFSET(Actual!$B$45,0,COLUMN(P$4)-COLUMN($C$4),1,1)</f>
        <v>71711.28</v>
      </c>
      <c r="Q36" s="25">
        <f ca="1">OFFSET(Q$4,ROW($B36)-ROW($B$4),-1,1,1)+OFFSET(Actual!$B$45,0,COLUMN(Q$4)-COLUMN($C$4),1,1)</f>
        <v>83065.679999999993</v>
      </c>
      <c r="R36" s="25">
        <f ca="1">OFFSET(R$4,ROW($B36)-ROW($B$4),-1,1,1)+OFFSET(Actual!$B$45,0,COLUMN(R$4)-COLUMN($C$4),1,1)</f>
        <v>93228.479999999996</v>
      </c>
      <c r="S36" s="25">
        <f ca="1">OFFSET(S$4,ROW($B36)-ROW($B$4),-1,1,1)+OFFSET(Actual!$B$45,0,COLUMN(S$4)-COLUMN($C$4),1,1)</f>
        <v>110546.28</v>
      </c>
      <c r="T36" s="25">
        <f ca="1">OFFSET(T$4,ROW($B36)-ROW($B$4),-1,1,1)+OFFSET(Actual!$B$45,0,COLUMN(T$4)-COLUMN($C$4),1,1)</f>
        <v>118832.18399999999</v>
      </c>
      <c r="U36" s="25">
        <f ca="1">OFFSET(U$4,ROW($B36)-ROW($B$4),-1,1,1)+OFFSET(Actual!$B$45,0,COLUMN(U$4)-COLUMN($C$4),1,1)</f>
        <v>118986.264</v>
      </c>
      <c r="V36" s="25">
        <f ca="1">OFFSET(V$4,ROW($B36)-ROW($B$4),-1,1,1)+OFFSET(Actual!$B$45,0,COLUMN(V$4)-COLUMN($C$4),1,1)</f>
        <v>117880.272</v>
      </c>
      <c r="W36" s="25">
        <f ca="1">OFFSET(W$4,ROW($B36)-ROW($B$4),-1,1,1)+OFFSET(Actual!$B$45,0,COLUMN(W$4)-COLUMN($C$4),1,1)</f>
        <v>137133.07199999999</v>
      </c>
      <c r="X36" s="25">
        <f ca="1">OFFSET(X$4,ROW($B36)-ROW($B$4),-1,1,1)+OFFSET(Actual!$B$45,0,COLUMN(X$4)-COLUMN($C$4),1,1)</f>
        <v>146318.83199999999</v>
      </c>
      <c r="Y36" s="25">
        <f ca="1">OFFSET(Y$4,ROW($B36)-ROW($B$4),-1,1,1)+OFFSET(Actual!$B$45,0,COLUMN(Y$4)-COLUMN($C$4),1,1)</f>
        <v>145010.26799999998</v>
      </c>
      <c r="Z36" s="25">
        <f ca="1">OFFSET(Z$4,ROW($B36)-ROW($B$4),-1,1,1)+OFFSET(Actual!$B$45,0,COLUMN(Z$4)-COLUMN($C$4),1,1)</f>
        <v>154328.98319999999</v>
      </c>
      <c r="AA36" s="25">
        <f ca="1">OFFSET(AA$4,ROW($B36)-ROW($B$4),-1,1,1)+OFFSET(Actual!$B$45,0,COLUMN(AA$4)-COLUMN($C$4),1,1)</f>
        <v>159792.2856</v>
      </c>
      <c r="AB36" s="25">
        <f ca="1">OFFSET(AB$4,ROW($B36)-ROW($B$4),-1,1,1)+OFFSET(Actual!$B$45,0,COLUMN(AB$4)-COLUMN($C$4),1,1)</f>
        <v>176179.48560000001</v>
      </c>
      <c r="AC36" s="25">
        <f ca="1">OFFSET(AC$4,ROW($B36)-ROW($B$4),-1,1,1)+OFFSET(Actual!$B$45,0,COLUMN(AC$4)-COLUMN($C$4),1,1)</f>
        <v>170428.8456</v>
      </c>
      <c r="AD36" s="25">
        <f ca="1">OFFSET(AD$4,ROW($B36)-ROW($B$4),-1,1,1)+OFFSET(Actual!$B$45,0,COLUMN(AD$4)-COLUMN($C$4),1,1)</f>
        <v>180964.17359999998</v>
      </c>
      <c r="AE36" s="25">
        <f ca="1">OFFSET(AE$4,ROW($B36)-ROW($B$4),-1,1,1)+OFFSET(Actual!$B$45,0,COLUMN(AE$4)-COLUMN($C$4),1,1)</f>
        <v>195723.45359999998</v>
      </c>
      <c r="AF36" s="25">
        <f ca="1">OFFSET(AF$4,ROW($B36)-ROW($B$4),-1,1,1)+OFFSET(Actual!$B$45,0,COLUMN(AF$4)-COLUMN($C$4),1,1)</f>
        <v>218145.6936</v>
      </c>
      <c r="AG36" s="25">
        <f ca="1">OFFSET(AG$4,ROW($B36)-ROW($B$4),-1,1,1)+OFFSET(Actual!$B$45,0,COLUMN(AG$4)-COLUMN($C$4),1,1)</f>
        <v>240734.1096</v>
      </c>
      <c r="AH36" s="25">
        <f ca="1">OFFSET(AH$4,ROW($B36)-ROW($B$4),-1,1,1)+OFFSET(Actual!$B$45,0,COLUMN(AH$4)-COLUMN($C$4),1,1)</f>
        <v>246565.10159999999</v>
      </c>
      <c r="AI36" s="25">
        <f ca="1">OFFSET(AI$4,ROW($B36)-ROW($B$4),-1,1,1)+OFFSET(Actual!$B$45,0,COLUMN(AI$4)-COLUMN($C$4),1,1)</f>
        <v>250927.1496</v>
      </c>
      <c r="AJ36" s="25">
        <f ca="1">OFFSET(AJ$4,ROW($B36)-ROW($B$4),-1,1,1)+OFFSET(Actual!$B$45,0,COLUMN(AJ$4)-COLUMN($C$4),1,1)</f>
        <v>273277.53360000002</v>
      </c>
      <c r="AK36" s="25">
        <f ca="1">OFFSET(AK$4,ROW($B36)-ROW($B$4),-1,1,1)+OFFSET(Actual!$B$45,0,COLUMN(AK$4)-COLUMN($C$4),1,1)</f>
        <v>291724.50960000005</v>
      </c>
      <c r="AL36" s="25">
        <f ca="1">OFFSET(AL$4,ROW($B36)-ROW($B$4),-1,1,1)+OFFSET(Actual!$B$45,0,COLUMN(AL$4)-COLUMN($C$4),1,1)</f>
        <v>287869.41360000003</v>
      </c>
      <c r="AM36" s="25">
        <f ca="1">OFFSET(AM$4,ROW($B36)-ROW($B$4),-1,1,1)+OFFSET(Actual!$B$45,0,COLUMN(AM$4)-COLUMN($C$4),1,1)</f>
        <v>302753.97360000003</v>
      </c>
      <c r="AN36" s="25">
        <f ca="1">OFFSET(AN$4,ROW($B36)-ROW($B$4),-1,1,1)+OFFSET(Actual!$B$45,0,COLUMN(AN$4)-COLUMN($C$4),1,1)</f>
        <v>321834.4056</v>
      </c>
      <c r="AO36" s="25">
        <f ca="1">OFFSET(AO$4,ROW($B36)-ROW($B$4),-1,1,1)+OFFSET(Actual!$B$45,0,COLUMN(AO$4)-COLUMN($C$4),1,1)</f>
        <v>344246.8248</v>
      </c>
      <c r="AP36" s="25">
        <f ca="1">OFFSET(AP$4,ROW($B36)-ROW($B$4),-1,1,1)+OFFSET(Actual!$B$45,0,COLUMN(AP$4)-COLUMN($C$4),1,1)</f>
        <v>329780.52720000001</v>
      </c>
      <c r="AQ36" s="25">
        <f ca="1">OFFSET(AQ$4,ROW($B36)-ROW($B$4),-1,1,1)+OFFSET(Actual!$B$45,0,COLUMN(AQ$4)-COLUMN($C$4),1,1)</f>
        <v>351667.5048</v>
      </c>
      <c r="AR36" s="25">
        <f ca="1">OFFSET(AR$4,ROW($B36)-ROW($B$4),-1,1,1)+OFFSET(Actual!$B$45,0,COLUMN(AR$4)-COLUMN($C$4),1,1)</f>
        <v>356104.86479999998</v>
      </c>
      <c r="AS36" s="25">
        <f ca="1">OFFSET(AS$4,ROW($B36)-ROW($B$4),-1,1,1)+OFFSET(Actual!$B$45,0,COLUMN(AS$4)-COLUMN($C$4),1,1)</f>
        <v>358402.02480000001</v>
      </c>
      <c r="AT36" s="25">
        <f ca="1">OFFSET(AT$4,ROW($B36)-ROW($B$4),-1,1,1)+OFFSET(Actual!$B$45,0,COLUMN(AT$4)-COLUMN($C$4),1,1)</f>
        <v>370232.70480000001</v>
      </c>
      <c r="AU36" s="25">
        <f ca="1">OFFSET(AU$4,ROW($B36)-ROW($B$4),-1,1,1)+OFFSET(Actual!$B$45,0,COLUMN(AU$4)-COLUMN($C$4),1,1)</f>
        <v>362399.10480000003</v>
      </c>
      <c r="AV36" s="25">
        <f ca="1">OFFSET(AV$4,ROW($B36)-ROW($B$4),-1,1,1)+OFFSET(Actual!$B$45,0,COLUMN(AV$4)-COLUMN($C$4),1,1)</f>
        <v>362817.06480000005</v>
      </c>
      <c r="AW36" s="25">
        <f ca="1">OFFSET(AW$4,ROW($B36)-ROW($B$4),-1,1,1)+OFFSET(Actual!$B$45,0,COLUMN(AW$4)-COLUMN($C$4),1,1)</f>
        <v>378107.34480000008</v>
      </c>
      <c r="AX36" s="25">
        <f ca="1">OFFSET(AX$4,ROW($B36)-ROW($B$4),-1,1,1)+OFFSET(Actual!$B$45,0,COLUMN(AX$4)-COLUMN($C$4),1,1)</f>
        <v>404272.79280000005</v>
      </c>
      <c r="AY36" s="25">
        <f ca="1">OFFSET(AY$4,ROW($B36)-ROW($B$4),-1,1,1)+OFFSET(Actual!$B$45,0,COLUMN(AY$4)-COLUMN($C$4),1,1)</f>
        <v>400249.36080000008</v>
      </c>
      <c r="AZ36" s="25">
        <f ca="1">OFFSET(AZ$4,ROW($B36)-ROW($B$4),-1,1,1)+OFFSET(Actual!$B$45,0,COLUMN(AZ$4)-COLUMN($C$4),1,1)</f>
        <v>418192.48080000008</v>
      </c>
      <c r="BA36" s="25">
        <f ca="1">OFFSET(BA$4,ROW($B36)-ROW($B$4),-1,1,1)+OFFSET(Actual!$B$45,0,COLUMN(BA$4)-COLUMN($C$4),1,1)</f>
        <v>436879.72080000007</v>
      </c>
      <c r="BB36" s="25">
        <f ca="1">OFFSET(BB$4,ROW($B36)-ROW($B$4),-1,1,1)+OFFSET(Actual!$B$45,0,COLUMN(BB$4)-COLUMN($C$4),1,1)</f>
        <v>457778.08080000011</v>
      </c>
      <c r="BC36" s="25">
        <f ca="1">OFFSET(BC$4,ROW($B36)-ROW($B$4),-1,1,1)+OFFSET(Actual!$B$45,0,COLUMN(BC$4)-COLUMN($C$4),1,1)</f>
        <v>452211.90480000013</v>
      </c>
      <c r="BD36" s="25">
        <f ca="1">OFFSET($B36,0,Assumptions!$B$7+1,1,1)</f>
        <v>71711.28</v>
      </c>
      <c r="BE36" s="25">
        <f ca="1">OFFSET($B36,0,SUM(Assumptions!$B$7:$B$8)+1,1,1)</f>
        <v>170428.8456</v>
      </c>
      <c r="BF36" s="25">
        <f ca="1">OFFSET($B36,0,SUM(Assumptions!$B$7:$B$9)+1,1,1)</f>
        <v>329780.52720000001</v>
      </c>
      <c r="BG36" s="25">
        <f ca="1">OFFSET($B36,0,SUM(Assumptions!$B$7:$B$10)+1,1,1)</f>
        <v>452211.90480000013</v>
      </c>
      <c r="BH36" s="25">
        <f ca="1">BG36</f>
        <v>452211.90480000013</v>
      </c>
    </row>
    <row r="37" spans="1:60" ht="15" customHeight="1" x14ac:dyDescent="0.3">
      <c r="A37" s="96"/>
      <c r="B37" s="44" t="s">
        <v>43</v>
      </c>
      <c r="C37" s="102">
        <f>-Assumptions!$B$28</f>
        <v>1100000</v>
      </c>
      <c r="D37" s="101">
        <v>1100000</v>
      </c>
      <c r="E37" s="45">
        <v>1085416</v>
      </c>
      <c r="F37" s="45">
        <v>1085416</v>
      </c>
      <c r="G37" s="45">
        <v>1085416</v>
      </c>
      <c r="H37" s="45">
        <v>1085416</v>
      </c>
      <c r="I37" s="45">
        <v>1070722</v>
      </c>
      <c r="J37" s="45">
        <v>1070722</v>
      </c>
      <c r="K37" s="45">
        <v>1070722</v>
      </c>
      <c r="L37" s="45">
        <v>1070722</v>
      </c>
      <c r="M37" s="45">
        <v>1070722</v>
      </c>
      <c r="N37" s="45">
        <v>1055918</v>
      </c>
      <c r="O37" s="45">
        <v>1055918</v>
      </c>
      <c r="P37" s="45">
        <v>1105918</v>
      </c>
      <c r="Q37" s="45">
        <v>1105918</v>
      </c>
      <c r="R37" s="45">
        <v>1090341</v>
      </c>
      <c r="S37" s="45">
        <v>1090341</v>
      </c>
      <c r="T37" s="45">
        <v>1090341</v>
      </c>
      <c r="U37" s="45">
        <v>1090341</v>
      </c>
      <c r="V37" s="45">
        <v>1074646</v>
      </c>
      <c r="W37" s="45">
        <v>1074646</v>
      </c>
      <c r="X37" s="45">
        <v>1074646</v>
      </c>
      <c r="Y37" s="45">
        <v>1074646</v>
      </c>
      <c r="Z37" s="45">
        <v>1074646</v>
      </c>
      <c r="AA37" s="45">
        <v>1058834</v>
      </c>
      <c r="AB37" s="45">
        <v>1058834</v>
      </c>
      <c r="AC37" s="45">
        <v>1058834</v>
      </c>
      <c r="AD37" s="45">
        <v>1058834</v>
      </c>
      <c r="AE37" s="45">
        <v>1042903</v>
      </c>
      <c r="AF37" s="45">
        <v>1042903</v>
      </c>
      <c r="AG37" s="45">
        <v>1042903</v>
      </c>
      <c r="AH37" s="45">
        <v>1042903</v>
      </c>
      <c r="AI37" s="45">
        <v>1026853</v>
      </c>
      <c r="AJ37" s="45">
        <v>1026853</v>
      </c>
      <c r="AK37" s="45">
        <v>1026853</v>
      </c>
      <c r="AL37" s="45">
        <v>1026853</v>
      </c>
      <c r="AM37" s="45">
        <v>1026853</v>
      </c>
      <c r="AN37" s="45">
        <v>1010682</v>
      </c>
      <c r="AO37" s="45">
        <v>1010682</v>
      </c>
      <c r="AP37" s="45">
        <v>1010682</v>
      </c>
      <c r="AQ37" s="45">
        <v>1010682</v>
      </c>
      <c r="AR37" s="45">
        <v>994390</v>
      </c>
      <c r="AS37" s="45">
        <v>994390</v>
      </c>
      <c r="AT37" s="45">
        <v>994390</v>
      </c>
      <c r="AU37" s="45">
        <v>994390</v>
      </c>
      <c r="AV37" s="45">
        <v>994390</v>
      </c>
      <c r="AW37" s="45">
        <v>977976</v>
      </c>
      <c r="AX37" s="45">
        <v>977976</v>
      </c>
      <c r="AY37" s="45">
        <v>977976</v>
      </c>
      <c r="AZ37" s="45">
        <v>977976</v>
      </c>
      <c r="BA37" s="45">
        <v>961439</v>
      </c>
      <c r="BB37" s="45">
        <v>961439</v>
      </c>
      <c r="BC37" s="45">
        <v>961439</v>
      </c>
      <c r="BD37" s="45">
        <f ca="1">OFFSET($B37,0,Assumptions!$B$7+1,1,1)</f>
        <v>1105918</v>
      </c>
      <c r="BE37" s="45">
        <f ca="1">OFFSET($B37,0,SUM(Assumptions!$B$7:$B$8)+1,1,1)</f>
        <v>1058834</v>
      </c>
      <c r="BF37" s="45">
        <f ca="1">OFFSET($B37,0,SUM(Assumptions!$B$7:$B$9)+1,1,1)</f>
        <v>1010682</v>
      </c>
      <c r="BG37" s="45">
        <f ca="1">OFFSET($B37,0,SUM(Assumptions!$B$7:$B$10)+1,1,1)</f>
        <v>961439</v>
      </c>
      <c r="BH37" s="45">
        <f ca="1">BG37</f>
        <v>961439</v>
      </c>
    </row>
    <row r="38" spans="1:60" ht="15" customHeight="1" x14ac:dyDescent="0.35">
      <c r="B38" s="6" t="s">
        <v>40</v>
      </c>
      <c r="C38" s="25"/>
      <c r="D38" s="97"/>
      <c r="E38" s="25"/>
      <c r="F38" s="25"/>
      <c r="G38" s="25"/>
      <c r="H38" s="25"/>
      <c r="I38" s="25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</row>
    <row r="39" spans="1:60" ht="15" customHeight="1" x14ac:dyDescent="0.3">
      <c r="A39" s="96"/>
      <c r="B39" s="7" t="s">
        <v>85</v>
      </c>
      <c r="C39" s="102">
        <f>-Assumptions!$B$29</f>
        <v>110000</v>
      </c>
      <c r="D39" s="99">
        <v>126200</v>
      </c>
      <c r="E39" s="25">
        <v>127900</v>
      </c>
      <c r="F39" s="25">
        <v>116100</v>
      </c>
      <c r="G39" s="25">
        <v>125500</v>
      </c>
      <c r="H39" s="25">
        <v>138100</v>
      </c>
      <c r="I39" s="25">
        <v>153900</v>
      </c>
      <c r="J39" s="25">
        <v>138300</v>
      </c>
      <c r="K39" s="25">
        <v>134400</v>
      </c>
      <c r="L39" s="25">
        <v>149600</v>
      </c>
      <c r="M39" s="25">
        <v>157200</v>
      </c>
      <c r="N39" s="25">
        <v>145900</v>
      </c>
      <c r="O39" s="25">
        <v>127100</v>
      </c>
      <c r="P39" s="25">
        <v>148100</v>
      </c>
      <c r="Q39" s="25">
        <v>165500</v>
      </c>
      <c r="R39" s="25">
        <v>148700</v>
      </c>
      <c r="S39" s="25">
        <v>131600</v>
      </c>
      <c r="T39" s="25">
        <v>139300</v>
      </c>
      <c r="U39" s="25">
        <v>146000</v>
      </c>
      <c r="V39" s="25">
        <v>153700</v>
      </c>
      <c r="W39" s="25">
        <v>150300</v>
      </c>
      <c r="X39" s="25">
        <v>147600</v>
      </c>
      <c r="Y39" s="25">
        <v>156400</v>
      </c>
      <c r="Z39" s="25">
        <v>154100</v>
      </c>
      <c r="AA39" s="25">
        <v>160100</v>
      </c>
      <c r="AB39" s="25">
        <v>157200</v>
      </c>
      <c r="AC39" s="25">
        <v>163700</v>
      </c>
      <c r="AD39" s="25">
        <v>164600</v>
      </c>
      <c r="AE39" s="25">
        <v>147200</v>
      </c>
      <c r="AF39" s="25">
        <v>141900</v>
      </c>
      <c r="AG39" s="25">
        <v>146000</v>
      </c>
      <c r="AH39" s="25">
        <v>159900</v>
      </c>
      <c r="AI39" s="25">
        <v>185200</v>
      </c>
      <c r="AJ39" s="25">
        <v>174100</v>
      </c>
      <c r="AK39" s="25">
        <v>155400</v>
      </c>
      <c r="AL39" s="25">
        <v>174900</v>
      </c>
      <c r="AM39" s="25">
        <v>184600</v>
      </c>
      <c r="AN39" s="25">
        <v>166400</v>
      </c>
      <c r="AO39" s="25">
        <v>151000</v>
      </c>
      <c r="AP39" s="25">
        <v>171600</v>
      </c>
      <c r="AQ39" s="25">
        <v>165000</v>
      </c>
      <c r="AR39" s="25">
        <v>144400</v>
      </c>
      <c r="AS39" s="25">
        <v>146700</v>
      </c>
      <c r="AT39" s="25">
        <v>128600</v>
      </c>
      <c r="AU39" s="25">
        <v>109600</v>
      </c>
      <c r="AV39" s="25">
        <v>106500</v>
      </c>
      <c r="AW39" s="25">
        <v>117200</v>
      </c>
      <c r="AX39" s="25">
        <v>137100</v>
      </c>
      <c r="AY39" s="25">
        <v>172300</v>
      </c>
      <c r="AZ39" s="25">
        <v>189400</v>
      </c>
      <c r="BA39" s="25">
        <v>174300</v>
      </c>
      <c r="BB39" s="25">
        <v>158500</v>
      </c>
      <c r="BC39" s="25">
        <v>176400</v>
      </c>
      <c r="BD39" s="25">
        <f ca="1">OFFSET($B39,0,Assumptions!$B$7+1,1,1)</f>
        <v>148100</v>
      </c>
      <c r="BE39" s="25">
        <f ca="1">OFFSET($B39,0,SUM(Assumptions!$B$7:$B$8)+1,1,1)</f>
        <v>163700</v>
      </c>
      <c r="BF39" s="25">
        <f ca="1">OFFSET($B39,0,SUM(Assumptions!$B$7:$B$9)+1,1,1)</f>
        <v>171600</v>
      </c>
      <c r="BG39" s="25">
        <f ca="1">OFFSET($B39,0,SUM(Assumptions!$B$7:$B$10)+1,1,1)</f>
        <v>176400</v>
      </c>
      <c r="BH39" s="25">
        <f ca="1">BG39</f>
        <v>176400</v>
      </c>
    </row>
    <row r="40" spans="1:60" ht="15" customHeight="1" x14ac:dyDescent="0.35">
      <c r="A40" s="207"/>
      <c r="B40" s="7" t="s">
        <v>52</v>
      </c>
      <c r="C40" s="102">
        <f>-Assumptions!$B$30</f>
        <v>0</v>
      </c>
      <c r="D40" s="97">
        <f ca="1">IF(OR(COLUMN(D$4)-COLUMN($C$4)=26,COLUMN(D$4)-COLUMN($C$4)=52),0,OFFSET(D$4,ROW($B40)-ROW($B$4),-1,1,1)+SUM(OFFSET(Actual!$B$43,0,COLUMN(D$4)-COLUMN($C$4),1,1)))</f>
        <v>2604.0000000000005</v>
      </c>
      <c r="E40" s="25">
        <f ca="1">IF(OR(COLUMN(E$4)-COLUMN($C$4)=26,COLUMN(E$4)-COLUMN($C$4)=52),0,OFFSET(E$4,ROW($B40)-ROW($B$4),-1,1,1)+SUM(OFFSET(Actual!$B$43,0,COLUMN(E$4)-COLUMN($C$4),1,1)))</f>
        <v>5313.0000000000009</v>
      </c>
      <c r="F40" s="25">
        <f ca="1">IF(OR(COLUMN(F$4)-COLUMN($C$4)=26,COLUMN(F$4)-COLUMN($C$4)=52),0,OFFSET(F$4,ROW($B40)-ROW($B$4),-1,1,1)+SUM(OFFSET(Actual!$B$43,0,COLUMN(F$4)-COLUMN($C$4),1,1)))</f>
        <v>9802.8000000000011</v>
      </c>
      <c r="G40" s="25">
        <f ca="1">IF(OR(COLUMN(G$4)-COLUMN($C$4)=26,COLUMN(G$4)-COLUMN($C$4)=52),0,OFFSET(G$4,ROW($B40)-ROW($B$4),-1,1,1)+SUM(OFFSET(Actual!$B$43,0,COLUMN(G$4)-COLUMN($C$4),1,1)))</f>
        <v>16865.800000000003</v>
      </c>
      <c r="H40" s="25">
        <f ca="1">IF(OR(COLUMN(H$4)-COLUMN($C$4)=26,COLUMN(H$4)-COLUMN($C$4)=52),0,OFFSET(H$4,ROW($B40)-ROW($B$4),-1,1,1)+SUM(OFFSET(Actual!$B$43,0,COLUMN(H$4)-COLUMN($C$4),1,1)))</f>
        <v>15946.840000000002</v>
      </c>
      <c r="I40" s="25">
        <f ca="1">IF(OR(COLUMN(I$4)-COLUMN($C$4)=26,COLUMN(I$4)-COLUMN($C$4)=52),0,OFFSET(I$4,ROW($B40)-ROW($B$4),-1,1,1)+SUM(OFFSET(Actual!$B$43,0,COLUMN(I$4)-COLUMN($C$4),1,1)))</f>
        <v>14532.28</v>
      </c>
      <c r="J40" s="25">
        <f ca="1">IF(OR(COLUMN(J$4)-COLUMN($C$4)=26,COLUMN(J$4)-COLUMN($C$4)=52),0,OFFSET(J$4,ROW($B40)-ROW($B$4),-1,1,1)+SUM(OFFSET(Actual!$B$43,0,COLUMN(J$4)-COLUMN($C$4),1,1)))</f>
        <v>19125.400000000001</v>
      </c>
      <c r="K40" s="25">
        <f ca="1">IF(OR(COLUMN(K$4)-COLUMN($C$4)=26,COLUMN(K$4)-COLUMN($C$4)=52),0,OFFSET(K$4,ROW($B40)-ROW($B$4),-1,1,1)+SUM(OFFSET(Actual!$B$43,0,COLUMN(K$4)-COLUMN($C$4),1,1)))</f>
        <v>21707.000000000004</v>
      </c>
      <c r="L40" s="25">
        <f ca="1">IF(OR(COLUMN(L$4)-COLUMN($C$4)=26,COLUMN(L$4)-COLUMN($C$4)=52),0,OFFSET(L$4,ROW($B40)-ROW($B$4),-1,1,1)+SUM(OFFSET(Actual!$B$43,0,COLUMN(L$4)-COLUMN($C$4),1,1)))</f>
        <v>20991.320000000003</v>
      </c>
      <c r="M40" s="25">
        <f ca="1">IF(OR(COLUMN(M$4)-COLUMN($C$4)=26,COLUMN(M$4)-COLUMN($C$4)=52),0,OFFSET(M$4,ROW($B40)-ROW($B$4),-1,1,1)+SUM(OFFSET(Actual!$B$43,0,COLUMN(M$4)-COLUMN($C$4),1,1)))</f>
        <v>23561.72</v>
      </c>
      <c r="N40" s="25">
        <f ca="1">IF(OR(COLUMN(N$4)-COLUMN($C$4)=26,COLUMN(N$4)-COLUMN($C$4)=52),0,OFFSET(N$4,ROW($B40)-ROW($B$4),-1,1,1)+SUM(OFFSET(Actual!$B$43,0,COLUMN(N$4)-COLUMN($C$4),1,1)))</f>
        <v>27771.24</v>
      </c>
      <c r="O40" s="25">
        <f ca="1">IF(OR(COLUMN(O$4)-COLUMN($C$4)=26,COLUMN(O$4)-COLUMN($C$4)=52),0,OFFSET(O$4,ROW($B40)-ROW($B$4),-1,1,1)+SUM(OFFSET(Actual!$B$43,0,COLUMN(O$4)-COLUMN($C$4),1,1)))</f>
        <v>34390.44</v>
      </c>
      <c r="P40" s="25">
        <f ca="1">IF(OR(COLUMN(P$4)-COLUMN($C$4)=26,COLUMN(P$4)-COLUMN($C$4)=52),0,OFFSET(P$4,ROW($B40)-ROW($B$4),-1,1,1)+SUM(OFFSET(Actual!$B$43,0,COLUMN(P$4)-COLUMN($C$4),1,1)))</f>
        <v>27887.72</v>
      </c>
      <c r="Q40" s="25">
        <f ca="1">IF(OR(COLUMN(Q$4)-COLUMN($C$4)=26,COLUMN(Q$4)-COLUMN($C$4)=52),0,OFFSET(Q$4,ROW($B40)-ROW($B$4),-1,1,1)+SUM(OFFSET(Actual!$B$43,0,COLUMN(Q$4)-COLUMN($C$4),1,1)))</f>
        <v>32303.320000000003</v>
      </c>
      <c r="R40" s="25">
        <f ca="1">IF(OR(COLUMN(R$4)-COLUMN($C$4)=26,COLUMN(R$4)-COLUMN($C$4)=52),0,OFFSET(R$4,ROW($B40)-ROW($B$4),-1,1,1)+SUM(OFFSET(Actual!$B$43,0,COLUMN(R$4)-COLUMN($C$4),1,1)))</f>
        <v>36255.520000000004</v>
      </c>
      <c r="S40" s="25">
        <f ca="1">IF(OR(COLUMN(S$4)-COLUMN($C$4)=26,COLUMN(S$4)-COLUMN($C$4)=52),0,OFFSET(S$4,ROW($B40)-ROW($B$4),-1,1,1)+SUM(OFFSET(Actual!$B$43,0,COLUMN(S$4)-COLUMN($C$4),1,1)))</f>
        <v>42990.22</v>
      </c>
      <c r="T40" s="25">
        <f ca="1">IF(OR(COLUMN(T$4)-COLUMN($C$4)=26,COLUMN(T$4)-COLUMN($C$4)=52),0,OFFSET(T$4,ROW($B40)-ROW($B$4),-1,1,1)+SUM(OFFSET(Actual!$B$43,0,COLUMN(T$4)-COLUMN($C$4),1,1)))</f>
        <v>46212.516000000011</v>
      </c>
      <c r="U40" s="25">
        <f ca="1">IF(OR(COLUMN(U$4)-COLUMN($C$4)=26,COLUMN(U$4)-COLUMN($C$4)=52),0,OFFSET(U$4,ROW($B40)-ROW($B$4),-1,1,1)+SUM(OFFSET(Actual!$B$43,0,COLUMN(U$4)-COLUMN($C$4),1,1)))</f>
        <v>46272.436000000009</v>
      </c>
      <c r="V40" s="25">
        <f ca="1">IF(OR(COLUMN(V$4)-COLUMN($C$4)=26,COLUMN(V$4)-COLUMN($C$4)=52),0,OFFSET(V$4,ROW($B40)-ROW($B$4),-1,1,1)+SUM(OFFSET(Actual!$B$43,0,COLUMN(V$4)-COLUMN($C$4),1,1)))</f>
        <v>45842.328000000009</v>
      </c>
      <c r="W40" s="25">
        <f ca="1">IF(OR(COLUMN(W$4)-COLUMN($C$4)=26,COLUMN(W$4)-COLUMN($C$4)=52),0,OFFSET(W$4,ROW($B40)-ROW($B$4),-1,1,1)+SUM(OFFSET(Actual!$B$43,0,COLUMN(W$4)-COLUMN($C$4),1,1)))</f>
        <v>53329.528000000006</v>
      </c>
      <c r="X40" s="25">
        <f ca="1">IF(OR(COLUMN(X$4)-COLUMN($C$4)=26,COLUMN(X$4)-COLUMN($C$4)=52),0,OFFSET(X$4,ROW($B40)-ROW($B$4),-1,1,1)+SUM(OFFSET(Actual!$B$43,0,COLUMN(X$4)-COLUMN($C$4),1,1)))</f>
        <v>56901.768000000004</v>
      </c>
      <c r="Y40" s="25">
        <f ca="1">IF(OR(COLUMN(Y$4)-COLUMN($C$4)=26,COLUMN(Y$4)-COLUMN($C$4)=52),0,OFFSET(Y$4,ROW($B40)-ROW($B$4),-1,1,1)+SUM(OFFSET(Actual!$B$43,0,COLUMN(Y$4)-COLUMN($C$4),1,1)))</f>
        <v>56392.882000000005</v>
      </c>
      <c r="Z40" s="25">
        <f ca="1">IF(OR(COLUMN(Z$4)-COLUMN($C$4)=26,COLUMN(Z$4)-COLUMN($C$4)=52),0,OFFSET(Z$4,ROW($B40)-ROW($B$4),-1,1,1)+SUM(OFFSET(Actual!$B$43,0,COLUMN(Z$4)-COLUMN($C$4),1,1)))</f>
        <v>60016.826800000003</v>
      </c>
      <c r="AA40" s="25">
        <f ca="1">IF(OR(COLUMN(AA$4)-COLUMN($C$4)=26,COLUMN(AA$4)-COLUMN($C$4)=52),0,OFFSET(AA$4,ROW($B40)-ROW($B$4),-1,1,1)+SUM(OFFSET(Actual!$B$43,0,COLUMN(AA$4)-COLUMN($C$4),1,1)))</f>
        <v>62141.4444</v>
      </c>
      <c r="AB40" s="25">
        <f ca="1">IF(OR(COLUMN(AB$4)-COLUMN($C$4)=26,COLUMN(AB$4)-COLUMN($C$4)=52),0,OFFSET(AB$4,ROW($B40)-ROW($B$4),-1,1,1)+SUM(OFFSET(Actual!$B$43,0,COLUMN(AB$4)-COLUMN($C$4),1,1)))</f>
        <v>68514.244399999996</v>
      </c>
      <c r="AC40" s="25">
        <f ca="1">IF(OR(COLUMN(AC$4)-COLUMN($C$4)=26,COLUMN(AC$4)-COLUMN($C$4)=52),0,OFFSET(AC$4,ROW($B40)-ROW($B$4),-1,1,1)+SUM(OFFSET(Actual!$B$43,0,COLUMN(AC$4)-COLUMN($C$4),1,1)))</f>
        <v>0</v>
      </c>
      <c r="AD40" s="25">
        <f ca="1">IF(OR(COLUMN(AD$4)-COLUMN($C$4)=26,COLUMN(AD$4)-COLUMN($C$4)=52),0,OFFSET(AD$4,ROW($B40)-ROW($B$4),-1,1,1)+SUM(OFFSET(Actual!$B$43,0,COLUMN(AD$4)-COLUMN($C$4),1,1)))</f>
        <v>4097.0720000000147</v>
      </c>
      <c r="AE40" s="25">
        <f ca="1">IF(OR(COLUMN(AE$4)-COLUMN($C$4)=26,COLUMN(AE$4)-COLUMN($C$4)=52),0,OFFSET(AE$4,ROW($B40)-ROW($B$4),-1,1,1)+SUM(OFFSET(Actual!$B$43,0,COLUMN(AE$4)-COLUMN($C$4),1,1)))</f>
        <v>9836.7920000000158</v>
      </c>
      <c r="AF40" s="25">
        <f ca="1">IF(OR(COLUMN(AF$4)-COLUMN($C$4)=26,COLUMN(AF$4)-COLUMN($C$4)=52),0,OFFSET(AF$4,ROW($B40)-ROW($B$4),-1,1,1)+SUM(OFFSET(Actual!$B$43,0,COLUMN(AF$4)-COLUMN($C$4),1,1)))</f>
        <v>18556.552000000011</v>
      </c>
      <c r="AG40" s="25">
        <f ca="1">IF(OR(COLUMN(AG$4)-COLUMN($C$4)=26,COLUMN(AG$4)-COLUMN($C$4)=52),0,OFFSET(AG$4,ROW($B40)-ROW($B$4),-1,1,1)+SUM(OFFSET(Actual!$B$43,0,COLUMN(AG$4)-COLUMN($C$4),1,1)))</f>
        <v>27340.936000000016</v>
      </c>
      <c r="AH40" s="25">
        <f ca="1">IF(OR(COLUMN(AH$4)-COLUMN($C$4)=26,COLUMN(AH$4)-COLUMN($C$4)=52),0,OFFSET(AH$4,ROW($B40)-ROW($B$4),-1,1,1)+SUM(OFFSET(Actual!$B$43,0,COLUMN(AH$4)-COLUMN($C$4),1,1)))</f>
        <v>29608.544000000009</v>
      </c>
      <c r="AI40" s="25">
        <f ca="1">IF(OR(COLUMN(AI$4)-COLUMN($C$4)=26,COLUMN(AI$4)-COLUMN($C$4)=52),0,OFFSET(AI$4,ROW($B40)-ROW($B$4),-1,1,1)+SUM(OFFSET(Actual!$B$43,0,COLUMN(AI$4)-COLUMN($C$4),1,1)))</f>
        <v>31304.896000000008</v>
      </c>
      <c r="AJ40" s="25">
        <f ca="1">IF(OR(COLUMN(AJ$4)-COLUMN($C$4)=26,COLUMN(AJ$4)-COLUMN($C$4)=52),0,OFFSET(AJ$4,ROW($B40)-ROW($B$4),-1,1,1)+SUM(OFFSET(Actual!$B$43,0,COLUMN(AJ$4)-COLUMN($C$4),1,1)))</f>
        <v>39996.712000000014</v>
      </c>
      <c r="AK40" s="25">
        <f ca="1">IF(OR(COLUMN(AK$4)-COLUMN($C$4)=26,COLUMN(AK$4)-COLUMN($C$4)=52),0,OFFSET(AK$4,ROW($B40)-ROW($B$4),-1,1,1)+SUM(OFFSET(Actual!$B$43,0,COLUMN(AK$4)-COLUMN($C$4),1,1)))</f>
        <v>47170.536000000007</v>
      </c>
      <c r="AL40" s="25">
        <f ca="1">IF(OR(COLUMN(AL$4)-COLUMN($C$4)=26,COLUMN(AL$4)-COLUMN($C$4)=52),0,OFFSET(AL$4,ROW($B40)-ROW($B$4),-1,1,1)+SUM(OFFSET(Actual!$B$43,0,COLUMN(AL$4)-COLUMN($C$4),1,1)))</f>
        <v>45671.332000000009</v>
      </c>
      <c r="AM40" s="25">
        <f ca="1">IF(OR(COLUMN(AM$4)-COLUMN($C$4)=26,COLUMN(AM$4)-COLUMN($C$4)=52),0,OFFSET(AM$4,ROW($B40)-ROW($B$4),-1,1,1)+SUM(OFFSET(Actual!$B$43,0,COLUMN(AM$4)-COLUMN($C$4),1,1)))</f>
        <v>51459.772000000012</v>
      </c>
      <c r="AN40" s="25">
        <f ca="1">IF(OR(COLUMN(AN$4)-COLUMN($C$4)=26,COLUMN(AN$4)-COLUMN($C$4)=52),0,OFFSET(AN$4,ROW($B40)-ROW($B$4),-1,1,1)+SUM(OFFSET(Actual!$B$43,0,COLUMN(AN$4)-COLUMN($C$4),1,1)))</f>
        <v>58879.940000000017</v>
      </c>
      <c r="AO40" s="25">
        <f ca="1">IF(OR(COLUMN(AO$4)-COLUMN($C$4)=26,COLUMN(AO$4)-COLUMN($C$4)=52),0,OFFSET(AO$4,ROW($B40)-ROW($B$4),-1,1,1)+SUM(OFFSET(Actual!$B$43,0,COLUMN(AO$4)-COLUMN($C$4),1,1)))</f>
        <v>67595.880799999999</v>
      </c>
      <c r="AP40" s="25">
        <f ca="1">IF(OR(COLUMN(AP$4)-COLUMN($C$4)=26,COLUMN(AP$4)-COLUMN($C$4)=52),0,OFFSET(AP$4,ROW($B40)-ROW($B$4),-1,1,1)+SUM(OFFSET(Actual!$B$43,0,COLUMN(AP$4)-COLUMN($C$4),1,1)))</f>
        <v>61970.098400000017</v>
      </c>
      <c r="AQ40" s="25">
        <f ca="1">IF(OR(COLUMN(AQ$4)-COLUMN($C$4)=26,COLUMN(AQ$4)-COLUMN($C$4)=52),0,OFFSET(AQ$4,ROW($B40)-ROW($B$4),-1,1,1)+SUM(OFFSET(Actual!$B$43,0,COLUMN(AQ$4)-COLUMN($C$4),1,1)))</f>
        <v>70481.700800000006</v>
      </c>
      <c r="AR40" s="25">
        <f ca="1">IF(OR(COLUMN(AR$4)-COLUMN($C$4)=26,COLUMN(AR$4)-COLUMN($C$4)=52),0,OFFSET(AR$4,ROW($B40)-ROW($B$4),-1,1,1)+SUM(OFFSET(Actual!$B$43,0,COLUMN(AR$4)-COLUMN($C$4),1,1)))</f>
        <v>72207.34080000002</v>
      </c>
      <c r="AS40" s="25">
        <f ca="1">IF(OR(COLUMN(AS$4)-COLUMN($C$4)=26,COLUMN(AS$4)-COLUMN($C$4)=52),0,OFFSET(AS$4,ROW($B40)-ROW($B$4),-1,1,1)+SUM(OFFSET(Actual!$B$43,0,COLUMN(AS$4)-COLUMN($C$4),1,1)))</f>
        <v>73100.680800000016</v>
      </c>
      <c r="AT40" s="25">
        <f ca="1">IF(OR(COLUMN(AT$4)-COLUMN($C$4)=26,COLUMN(AT$4)-COLUMN($C$4)=52),0,OFFSET(AT$4,ROW($B40)-ROW($B$4),-1,1,1)+SUM(OFFSET(Actual!$B$43,0,COLUMN(AT$4)-COLUMN($C$4),1,1)))</f>
        <v>77701.500800000023</v>
      </c>
      <c r="AU40" s="25">
        <f ca="1">IF(OR(COLUMN(AU$4)-COLUMN($C$4)=26,COLUMN(AU$4)-COLUMN($C$4)=52),0,OFFSET(AU$4,ROW($B40)-ROW($B$4),-1,1,1)+SUM(OFFSET(Actual!$B$43,0,COLUMN(AU$4)-COLUMN($C$4),1,1)))</f>
        <v>74655.1008</v>
      </c>
      <c r="AV40" s="25">
        <f ca="1">IF(OR(COLUMN(AV$4)-COLUMN($C$4)=26,COLUMN(AV$4)-COLUMN($C$4)=52),0,OFFSET(AV$4,ROW($B40)-ROW($B$4),-1,1,1)+SUM(OFFSET(Actual!$B$43,0,COLUMN(AV$4)-COLUMN($C$4),1,1)))</f>
        <v>74817.640800000008</v>
      </c>
      <c r="AW40" s="25">
        <f ca="1">IF(OR(COLUMN(AW$4)-COLUMN($C$4)=26,COLUMN(AW$4)-COLUMN($C$4)=52),0,OFFSET(AW$4,ROW($B40)-ROW($B$4),-1,1,1)+SUM(OFFSET(Actual!$B$43,0,COLUMN(AW$4)-COLUMN($C$4),1,1)))</f>
        <v>80763.860800000009</v>
      </c>
      <c r="AX40" s="25">
        <f ca="1">IF(OR(COLUMN(AX$4)-COLUMN($C$4)=26,COLUMN(AX$4)-COLUMN($C$4)=52),0,OFFSET(AX$4,ROW($B40)-ROW($B$4),-1,1,1)+SUM(OFFSET(Actual!$B$43,0,COLUMN(AX$4)-COLUMN($C$4),1,1)))</f>
        <v>90939.312800000029</v>
      </c>
      <c r="AY40" s="25">
        <f ca="1">IF(OR(COLUMN(AY$4)-COLUMN($C$4)=26,COLUMN(AY$4)-COLUMN($C$4)=52),0,OFFSET(AY$4,ROW($B40)-ROW($B$4),-1,1,1)+SUM(OFFSET(Actual!$B$43,0,COLUMN(AY$4)-COLUMN($C$4),1,1)))</f>
        <v>89374.644800000024</v>
      </c>
      <c r="AZ40" s="25">
        <f ca="1">IF(OR(COLUMN(AZ$4)-COLUMN($C$4)=26,COLUMN(AZ$4)-COLUMN($C$4)=52),0,OFFSET(AZ$4,ROW($B40)-ROW($B$4),-1,1,1)+SUM(OFFSET(Actual!$B$43,0,COLUMN(AZ$4)-COLUMN($C$4),1,1)))</f>
        <v>96352.524800000028</v>
      </c>
      <c r="BA40" s="25">
        <f ca="1">IF(OR(COLUMN(BA$4)-COLUMN($C$4)=26,COLUMN(BA$4)-COLUMN($C$4)=52),0,OFFSET(BA$4,ROW($B40)-ROW($B$4),-1,1,1)+SUM(OFFSET(Actual!$B$43,0,COLUMN(BA$4)-COLUMN($C$4),1,1)))</f>
        <v>103619.78480000004</v>
      </c>
      <c r="BB40" s="25">
        <f ca="1">IF(OR(COLUMN(BB$4)-COLUMN($C$4)=26,COLUMN(BB$4)-COLUMN($C$4)=52),0,OFFSET(BB$4,ROW($B40)-ROW($B$4),-1,1,1)+SUM(OFFSET(Actual!$B$43,0,COLUMN(BB$4)-COLUMN($C$4),1,1)))</f>
        <v>111746.92480000002</v>
      </c>
      <c r="BC40" s="25">
        <f ca="1">IF(OR(COLUMN(BC$4)-COLUMN($C$4)=26,COLUMN(BC$4)-COLUMN($C$4)=52),0,OFFSET(BC$4,ROW($B40)-ROW($B$4),-1,1,1)+SUM(OFFSET(Actual!$B$43,0,COLUMN(BC$4)-COLUMN($C$4),1,1)))</f>
        <v>0</v>
      </c>
      <c r="BD40" s="25">
        <f ca="1">OFFSET($B40,0,Assumptions!$B$7+1,1,1)</f>
        <v>27887.72</v>
      </c>
      <c r="BE40" s="25">
        <f ca="1">OFFSET($B40,0,SUM(Assumptions!$B$7:$B$8)+1,1,1)</f>
        <v>0</v>
      </c>
      <c r="BF40" s="25">
        <f ca="1">OFFSET($B40,0,SUM(Assumptions!$B$7:$B$9)+1,1,1)</f>
        <v>61970.098400000017</v>
      </c>
      <c r="BG40" s="25">
        <f ca="1">OFFSET($B40,0,SUM(Assumptions!$B$7:$B$10)+1,1,1)</f>
        <v>0</v>
      </c>
      <c r="BH40" s="25">
        <f ca="1">BG40</f>
        <v>0</v>
      </c>
    </row>
    <row r="41" spans="1:60" ht="15" customHeight="1" thickBot="1" x14ac:dyDescent="0.4">
      <c r="B41" s="2"/>
      <c r="C41" s="35">
        <f>SUM(C35:C40)</f>
        <v>1211000</v>
      </c>
      <c r="D41" s="100">
        <f ca="1">SUM(D35:D40)</f>
        <v>1236500</v>
      </c>
      <c r="E41" s="35">
        <f t="shared" ref="E41:BC41" ca="1" si="6">SUM(E35:E40)</f>
        <v>1233291</v>
      </c>
      <c r="F41" s="35">
        <f t="shared" ca="1" si="6"/>
        <v>1237526</v>
      </c>
      <c r="G41" s="35">
        <f t="shared" ca="1" si="6"/>
        <v>1272151</v>
      </c>
      <c r="H41" s="35">
        <f t="shared" ca="1" si="6"/>
        <v>1281469</v>
      </c>
      <c r="I41" s="35">
        <f t="shared" ca="1" si="6"/>
        <v>1277523</v>
      </c>
      <c r="J41" s="35">
        <f t="shared" ca="1" si="6"/>
        <v>1278327</v>
      </c>
      <c r="K41" s="35">
        <f t="shared" ca="1" si="6"/>
        <v>1283647</v>
      </c>
      <c r="L41" s="35">
        <f t="shared" ca="1" si="6"/>
        <v>1296291</v>
      </c>
      <c r="M41" s="35">
        <f t="shared" ca="1" si="6"/>
        <v>1313071</v>
      </c>
      <c r="N41" s="35">
        <f t="shared" ca="1" si="6"/>
        <v>1302001</v>
      </c>
      <c r="O41" s="35">
        <f t="shared" ca="1" si="6"/>
        <v>1306841</v>
      </c>
      <c r="P41" s="35">
        <f t="shared" ca="1" si="6"/>
        <v>1354617</v>
      </c>
      <c r="Q41" s="35">
        <f t="shared" ca="1" si="6"/>
        <v>1387787</v>
      </c>
      <c r="R41" s="35">
        <f t="shared" ca="1" si="6"/>
        <v>1369525</v>
      </c>
      <c r="S41" s="35">
        <f t="shared" ca="1" si="6"/>
        <v>1376477.5</v>
      </c>
      <c r="T41" s="35">
        <f t="shared" ca="1" si="6"/>
        <v>1395685.7</v>
      </c>
      <c r="U41" s="35">
        <f t="shared" ca="1" si="6"/>
        <v>1402599.7</v>
      </c>
      <c r="V41" s="35">
        <f t="shared" ca="1" si="6"/>
        <v>1393068.5999999999</v>
      </c>
      <c r="W41" s="35">
        <f t="shared" ca="1" si="6"/>
        <v>1416408.5999999999</v>
      </c>
      <c r="X41" s="35">
        <f t="shared" ca="1" si="6"/>
        <v>1426466.5999999999</v>
      </c>
      <c r="Y41" s="35">
        <f t="shared" ca="1" si="6"/>
        <v>1433449.15</v>
      </c>
      <c r="Z41" s="35">
        <f t="shared" ca="1" si="6"/>
        <v>1444091.8099999998</v>
      </c>
      <c r="AA41" s="35">
        <f t="shared" ca="1" si="6"/>
        <v>1441867.73</v>
      </c>
      <c r="AB41" s="35">
        <f t="shared" ca="1" si="6"/>
        <v>1461727.73</v>
      </c>
      <c r="AC41" s="35">
        <f t="shared" ca="1" si="6"/>
        <v>1393962.8456000001</v>
      </c>
      <c r="AD41" s="35">
        <f t="shared" ca="1" si="6"/>
        <v>1409495.2455999998</v>
      </c>
      <c r="AE41" s="35">
        <f t="shared" ca="1" si="6"/>
        <v>1396663.2456</v>
      </c>
      <c r="AF41" s="35">
        <f t="shared" ca="1" si="6"/>
        <v>1422505.2455999998</v>
      </c>
      <c r="AG41" s="35">
        <f t="shared" ca="1" si="6"/>
        <v>1457978.0456000001</v>
      </c>
      <c r="AH41" s="35">
        <f t="shared" ca="1" si="6"/>
        <v>1479976.6455999999</v>
      </c>
      <c r="AI41" s="35">
        <f t="shared" ca="1" si="6"/>
        <v>1495285.0456000001</v>
      </c>
      <c r="AJ41" s="35">
        <f t="shared" ca="1" si="6"/>
        <v>1515227.2456</v>
      </c>
      <c r="AK41" s="35">
        <f t="shared" ca="1" si="6"/>
        <v>1522148.0456000001</v>
      </c>
      <c r="AL41" s="35">
        <f t="shared" ca="1" si="6"/>
        <v>1536293.7456</v>
      </c>
      <c r="AM41" s="35">
        <f t="shared" ca="1" si="6"/>
        <v>1566666.7456000003</v>
      </c>
      <c r="AN41" s="35">
        <f t="shared" ca="1" si="6"/>
        <v>1558796.3455999999</v>
      </c>
      <c r="AO41" s="35">
        <f t="shared" ca="1" si="6"/>
        <v>1574524.7056</v>
      </c>
      <c r="AP41" s="35">
        <f t="shared" ca="1" si="6"/>
        <v>1575032.6255999999</v>
      </c>
      <c r="AQ41" s="35">
        <f t="shared" ca="1" si="6"/>
        <v>1598831.2056</v>
      </c>
      <c r="AR41" s="35">
        <f t="shared" ca="1" si="6"/>
        <v>1568102.2056000002</v>
      </c>
      <c r="AS41" s="35">
        <f t="shared" ca="1" si="6"/>
        <v>1573592.7056</v>
      </c>
      <c r="AT41" s="35">
        <f t="shared" ca="1" si="6"/>
        <v>1571924.2056</v>
      </c>
      <c r="AU41" s="35">
        <f t="shared" ca="1" si="6"/>
        <v>1542044.2056</v>
      </c>
      <c r="AV41" s="35">
        <f t="shared" ca="1" si="6"/>
        <v>1539524.7056</v>
      </c>
      <c r="AW41" s="35">
        <f t="shared" ca="1" si="6"/>
        <v>1555047.2056</v>
      </c>
      <c r="AX41" s="35">
        <f t="shared" ca="1" si="6"/>
        <v>1611288.1055999999</v>
      </c>
      <c r="AY41" s="35">
        <f t="shared" ca="1" si="6"/>
        <v>1640900.0056000003</v>
      </c>
      <c r="AZ41" s="35">
        <f t="shared" ca="1" si="6"/>
        <v>1682921.0056</v>
      </c>
      <c r="BA41" s="35">
        <f t="shared" ca="1" si="6"/>
        <v>1677238.5056</v>
      </c>
      <c r="BB41" s="35">
        <f t="shared" ca="1" si="6"/>
        <v>1690464.0056</v>
      </c>
      <c r="BC41" s="35">
        <f t="shared" ca="1" si="6"/>
        <v>1591050.9048000001</v>
      </c>
      <c r="BD41" s="35">
        <f ca="1">SUM(BD35:BD40)</f>
        <v>1354617</v>
      </c>
      <c r="BE41" s="35">
        <f ca="1">SUM(BE35:BE40)</f>
        <v>1393962.8456000001</v>
      </c>
      <c r="BF41" s="35">
        <f ca="1">SUM(BF35:BF40)</f>
        <v>1575032.6255999999</v>
      </c>
      <c r="BG41" s="35">
        <f ca="1">SUM(BG35:BG40)</f>
        <v>1591050.9048000001</v>
      </c>
      <c r="BH41" s="35">
        <f ca="1">SUM(BH35:BH40)</f>
        <v>1591050.9048000001</v>
      </c>
    </row>
    <row r="42" spans="1:60" ht="15" customHeight="1" thickTop="1" x14ac:dyDescent="0.3">
      <c r="B42" s="39"/>
      <c r="C42" s="47"/>
      <c r="D42" s="47"/>
      <c r="E42" s="47"/>
      <c r="F42" s="47"/>
      <c r="G42" s="47"/>
      <c r="H42" s="4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</row>
    <row r="43" spans="1:60" ht="15" customHeight="1" x14ac:dyDescent="0.35">
      <c r="B43" s="6" t="s">
        <v>106</v>
      </c>
      <c r="C43" s="48"/>
      <c r="D43" s="48">
        <v>7</v>
      </c>
      <c r="E43" s="48">
        <v>7</v>
      </c>
      <c r="F43" s="48">
        <v>7</v>
      </c>
      <c r="G43" s="48">
        <v>7</v>
      </c>
      <c r="H43" s="48">
        <v>7</v>
      </c>
      <c r="I43" s="48">
        <v>7</v>
      </c>
      <c r="J43" s="48">
        <v>7</v>
      </c>
      <c r="K43" s="48">
        <v>7</v>
      </c>
      <c r="L43" s="48">
        <v>7</v>
      </c>
      <c r="M43" s="48">
        <v>7</v>
      </c>
      <c r="N43" s="48">
        <v>7</v>
      </c>
      <c r="O43" s="48">
        <v>7</v>
      </c>
      <c r="P43" s="48">
        <v>7</v>
      </c>
      <c r="Q43" s="48">
        <v>7</v>
      </c>
      <c r="R43" s="48">
        <v>7</v>
      </c>
      <c r="S43" s="48">
        <v>7</v>
      </c>
      <c r="T43" s="48">
        <v>7</v>
      </c>
      <c r="U43" s="48">
        <v>7</v>
      </c>
      <c r="V43" s="48">
        <v>7</v>
      </c>
      <c r="W43" s="48">
        <v>7</v>
      </c>
      <c r="X43" s="48">
        <v>7</v>
      </c>
      <c r="Y43" s="48">
        <v>7</v>
      </c>
      <c r="Z43" s="48">
        <v>7</v>
      </c>
      <c r="AA43" s="48">
        <v>7</v>
      </c>
      <c r="AB43" s="48">
        <v>7</v>
      </c>
      <c r="AC43" s="48">
        <v>7</v>
      </c>
      <c r="AD43" s="48">
        <v>7</v>
      </c>
      <c r="AE43" s="48">
        <v>7</v>
      </c>
      <c r="AF43" s="48">
        <v>7</v>
      </c>
      <c r="AG43" s="48">
        <v>7</v>
      </c>
      <c r="AH43" s="48">
        <v>7</v>
      </c>
      <c r="AI43" s="48">
        <v>7</v>
      </c>
      <c r="AJ43" s="48">
        <v>7</v>
      </c>
      <c r="AK43" s="48">
        <v>7</v>
      </c>
      <c r="AL43" s="48">
        <v>7</v>
      </c>
      <c r="AM43" s="48">
        <v>7</v>
      </c>
      <c r="AN43" s="48">
        <v>7</v>
      </c>
      <c r="AO43" s="48">
        <v>7</v>
      </c>
      <c r="AP43" s="48">
        <v>7</v>
      </c>
      <c r="AQ43" s="48">
        <v>7</v>
      </c>
      <c r="AR43" s="48">
        <v>7</v>
      </c>
      <c r="AS43" s="48">
        <v>7</v>
      </c>
      <c r="AT43" s="48">
        <v>7</v>
      </c>
      <c r="AU43" s="48">
        <v>7</v>
      </c>
      <c r="AV43" s="48">
        <v>7</v>
      </c>
      <c r="AW43" s="48">
        <v>7</v>
      </c>
      <c r="AX43" s="48">
        <v>7</v>
      </c>
      <c r="AY43" s="48">
        <v>7</v>
      </c>
      <c r="AZ43" s="48">
        <v>7</v>
      </c>
      <c r="BA43" s="48">
        <v>7</v>
      </c>
      <c r="BB43" s="48">
        <v>7</v>
      </c>
      <c r="BC43" s="48">
        <v>7</v>
      </c>
      <c r="BD43" s="48">
        <f ca="1">SUM(OFFSET($B43,0,2,1,Assumptions!$B$7))</f>
        <v>91</v>
      </c>
      <c r="BE43" s="48">
        <f ca="1">SUM(OFFSET($B43,0,Assumptions!$B$7+1,1,SUM(Assumptions!$B$8)))</f>
        <v>91</v>
      </c>
      <c r="BF43" s="48">
        <f ca="1">SUM(OFFSET($B43,0,SUM(Assumptions!$B$7:$B$8)+1,1,SUM(Assumptions!$B$9)))</f>
        <v>91</v>
      </c>
      <c r="BG43" s="48">
        <f ca="1">SUM(OFFSET($B43,0,SUM(Assumptions!$B$7:$B$9)+1,1,SUM(Assumptions!$B$10)))</f>
        <v>91</v>
      </c>
      <c r="BH43" s="48">
        <f ca="1">SUM(BD43:BG43)</f>
        <v>364</v>
      </c>
    </row>
  </sheetData>
  <phoneticPr fontId="3" type="noConversion"/>
  <conditionalFormatting sqref="C11:BH11">
    <cfRule type="expression" dxfId="6" priority="10" stopIfTrue="1">
      <formula>ROUND(C11,2)&lt;&gt;ROUND(C19,2)</formula>
    </cfRule>
  </conditionalFormatting>
  <conditionalFormatting sqref="C19:BH19">
    <cfRule type="expression" dxfId="5" priority="9" stopIfTrue="1">
      <formula>ROUND(C11,2)&lt;&gt;ROUND(C19,2)</formula>
    </cfRule>
  </conditionalFormatting>
  <conditionalFormatting sqref="C33:BH33">
    <cfRule type="expression" dxfId="4" priority="5" stopIfTrue="1">
      <formula>ROUND(C33,2)&lt;&gt;ROUND(C41,2)</formula>
    </cfRule>
  </conditionalFormatting>
  <conditionalFormatting sqref="C41:BH41">
    <cfRule type="expression" dxfId="3" priority="4" stopIfTrue="1">
      <formula>ROUND(C33,2)&lt;&gt;ROUND(C41,2)</formula>
    </cfRule>
  </conditionalFormatting>
  <pageMargins left="0.39370078740157483" right="0.39370078740157483" top="0.59055118110236227" bottom="0.59055118110236227" header="0.39370078740157483" footer="0.39370078740157483"/>
  <pageSetup paperSize="9" scale="65" fitToWidth="3" orientation="landscape" r:id="rId1"/>
  <headerFooter alignWithMargins="0">
    <oddFooter>&amp;C&amp;9Page &amp;P of &amp;N</oddFooter>
  </headerFooter>
  <colBreaks count="4" manualBreakCount="4">
    <brk id="16" max="1048575" man="1"/>
    <brk id="29" max="1048575" man="1"/>
    <brk id="42" max="1048575" man="1"/>
    <brk id="5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65"/>
  <sheetViews>
    <sheetView zoomScale="95" workbookViewId="0">
      <pane ySplit="8" topLeftCell="A9" activePane="bottomLeft" state="frozen"/>
      <selection pane="bottomLeft" activeCell="A8" sqref="A8"/>
    </sheetView>
  </sheetViews>
  <sheetFormatPr defaultColWidth="9.1328125" defaultRowHeight="15" customHeight="1" x14ac:dyDescent="0.3"/>
  <cols>
    <col min="1" max="1" width="15.73046875" style="80" customWidth="1"/>
    <col min="2" max="2" width="15.73046875" style="76" customWidth="1"/>
    <col min="3" max="8" width="13.73046875" style="8" customWidth="1"/>
    <col min="9" max="9" width="13.73046875" style="82" customWidth="1"/>
    <col min="10" max="13" width="15.73046875" style="8" customWidth="1"/>
    <col min="14" max="18" width="15.73046875" style="5" customWidth="1"/>
    <col min="19" max="16384" width="9.1328125" style="5"/>
  </cols>
  <sheetData>
    <row r="1" spans="1:13" x14ac:dyDescent="0.4">
      <c r="A1" s="77" t="str">
        <f>Assumptions!$B$4</f>
        <v>Example Trading Limited</v>
      </c>
      <c r="B1" s="72"/>
      <c r="D1" s="3"/>
      <c r="H1" s="41"/>
    </row>
    <row r="2" spans="1:13" ht="15" customHeight="1" x14ac:dyDescent="0.35">
      <c r="A2" s="78" t="s">
        <v>115</v>
      </c>
      <c r="B2" s="73"/>
    </row>
    <row r="3" spans="1:13" ht="15" customHeight="1" x14ac:dyDescent="0.35">
      <c r="A3" s="78"/>
      <c r="B3" s="73"/>
    </row>
    <row r="4" spans="1:13" ht="15" customHeight="1" x14ac:dyDescent="0.3">
      <c r="A4" s="70" t="s">
        <v>34</v>
      </c>
      <c r="B4" s="209">
        <f>Assumptions!$B$32</f>
        <v>0.105</v>
      </c>
      <c r="D4" s="56"/>
    </row>
    <row r="5" spans="1:13" ht="15" customHeight="1" x14ac:dyDescent="0.3">
      <c r="A5" s="79" t="s">
        <v>44</v>
      </c>
      <c r="B5" s="58">
        <f>Assumptions!$B$33</f>
        <v>5</v>
      </c>
      <c r="D5" s="57"/>
    </row>
    <row r="6" spans="1:13" ht="15" customHeight="1" x14ac:dyDescent="0.3">
      <c r="A6" s="79" t="s">
        <v>45</v>
      </c>
      <c r="B6" s="58" t="str">
        <f>Assumptions!B34</f>
        <v>No</v>
      </c>
      <c r="D6" s="59"/>
    </row>
    <row r="7" spans="1:13" ht="15" customHeight="1" x14ac:dyDescent="0.35">
      <c r="B7" s="74" t="s">
        <v>60</v>
      </c>
    </row>
    <row r="8" spans="1:13" s="42" customFormat="1" ht="24" x14ac:dyDescent="0.35">
      <c r="A8" s="81" t="s">
        <v>93</v>
      </c>
      <c r="B8" s="75" t="s">
        <v>92</v>
      </c>
      <c r="C8" s="50" t="s">
        <v>49</v>
      </c>
      <c r="D8" s="50" t="s">
        <v>57</v>
      </c>
      <c r="E8" s="50" t="s">
        <v>48</v>
      </c>
      <c r="F8" s="50" t="s">
        <v>58</v>
      </c>
      <c r="G8" s="50" t="s">
        <v>59</v>
      </c>
      <c r="H8" s="50" t="s">
        <v>50</v>
      </c>
      <c r="I8" s="83" t="s">
        <v>95</v>
      </c>
      <c r="J8" s="71"/>
      <c r="K8" s="71"/>
      <c r="L8" s="71"/>
      <c r="M8" s="71"/>
    </row>
    <row r="9" spans="1:13" s="46" customFormat="1" ht="15" customHeight="1" x14ac:dyDescent="0.3">
      <c r="A9" s="70">
        <f ca="1">IF(ISBLANK(Assumptions!$B$5)=TRUE,DATE(YEAR(TODAY()),MONTH(TODAY()),1),DATE(YEAR(Assumptions!$B$5),MONTH(Assumptions!$B$5),DAY(Assumptions!$B$5)))</f>
        <v>42429</v>
      </c>
      <c r="B9" s="76">
        <f ca="1">IF(Assumptions!$B$35&gt;=DAY($A$9),DATE(YEAR(A9),MONTH(A9),IF(AND(MONTH($A$9)=2,Assumptions!$B$35&gt;28),28,Assumptions!$B$35)),DATE(YEAR(A9),MONTH(A9)+1,IF(AND(MONTH($A$9)=2,Assumptions!$B$35&gt;28),28,Assumptions!$B$35)))</f>
        <v>42434</v>
      </c>
      <c r="C9" s="60">
        <v>0</v>
      </c>
      <c r="D9" s="60">
        <f>-Assumptions!$B$28</f>
        <v>1100000</v>
      </c>
      <c r="E9" s="60">
        <v>0</v>
      </c>
      <c r="F9" s="60">
        <v>0</v>
      </c>
      <c r="G9" s="61">
        <f t="shared" ref="G9:G40" si="0">IF($B$6="Yes",0,E9-F9)</f>
        <v>0</v>
      </c>
      <c r="H9" s="62">
        <f>IF(ROUND(SUM(C9:D9,-G9),0)=0,0,IF($B$6="Yes",SUM($D$9:D9),SUM(C9:D9,-G9)))</f>
        <v>1100000</v>
      </c>
      <c r="I9" s="82" t="str">
        <f>"-"</f>
        <v>-</v>
      </c>
      <c r="J9" s="60"/>
      <c r="K9" s="60"/>
      <c r="L9" s="60"/>
      <c r="M9" s="60"/>
    </row>
    <row r="10" spans="1:13" s="46" customFormat="1" ht="15" customHeight="1" x14ac:dyDescent="0.3">
      <c r="A10" s="70">
        <f ca="1">IF(ISBLANK(Assumptions!$B$5)=TRUE,DATE(YEAR(TODAY()),MONTH(TODAY()),7),DATE(YEAR(Assumptions!$B$5),MONTH(Assumptions!$B$5),DAY(Assumptions!$B$5)+6))</f>
        <v>42435</v>
      </c>
      <c r="B10" s="76">
        <f ca="1">IF(AND(B9&gt;A9,B9&lt;=A10),B9,DATE(YEAR(A10),MONTH(A10),IF(AND(MONTH(A10)=2,Assumptions!$B$35&gt;28),28,Assumptions!$B$35)))</f>
        <v>42434</v>
      </c>
      <c r="C10" s="60">
        <f>H9</f>
        <v>1100000</v>
      </c>
      <c r="D10" s="60">
        <f ca="1">IF(ISNA(MATCH($A10,Months,0))=TRUE,0,OFFSET(Forecast!$B$74,0,MATCH($A10,Months,0),1,1))</f>
        <v>0</v>
      </c>
      <c r="E10" s="61">
        <f ca="1">IF(AND(B10&gt;A9,B10&lt;=A10),IF($B$6="Yes",0,IF(ROW(D10)-ROW($D$9)&gt;$B$5*52,-PMT($B$4/12,$B$5*12,SUM(OFFSET(D10,0,0,-$B$5*12,1)),0,0),-PMT($B$4/12,$B$5*12,SUM(OFFSET(D10,0,0,ROW($D$8)-ROW(D10),1)),0,0))),0)</f>
        <v>23643.290415929208</v>
      </c>
      <c r="F10" s="61">
        <f ca="1">IF(AND(B10&gt;A9,B10&lt;=A10),(H9+D10)*$B$4/12,0)</f>
        <v>9625</v>
      </c>
      <c r="G10" s="61">
        <f t="shared" ca="1" si="0"/>
        <v>14018.290415929208</v>
      </c>
      <c r="H10" s="62">
        <f ca="1">IF(ROUND(SUM(C10:D10,-G10),0)=0,0,IF($B$6="Yes",SUM($D$9:D10),SUM(C10:D10,-G10)))</f>
        <v>1085981.7095840708</v>
      </c>
      <c r="I10" s="84">
        <f ca="1">IF(E10&gt;0,MAX(I$9:I9)+1,"-")</f>
        <v>1</v>
      </c>
      <c r="J10" s="60"/>
      <c r="K10" s="60"/>
      <c r="L10" s="60"/>
      <c r="M10" s="60"/>
    </row>
    <row r="11" spans="1:13" s="46" customFormat="1" ht="15" customHeight="1" x14ac:dyDescent="0.3">
      <c r="A11" s="70">
        <f ca="1">DATE(YEAR(A10),MONTH(A10),DAY(A10)+7)</f>
        <v>42442</v>
      </c>
      <c r="B11" s="76">
        <f ca="1">IF(AND(B10&gt;A10,B10&lt;=A11),B10,DATE(YEAR(A11),MONTH(A11),IF(AND(MONTH(A11)=2,Assumptions!$B$35&gt;28),28,Assumptions!$B$35)))</f>
        <v>42434</v>
      </c>
      <c r="C11" s="60">
        <f t="shared" ref="C11:C61" ca="1" si="1">H10</f>
        <v>1085981.7095840708</v>
      </c>
      <c r="D11" s="60">
        <f ca="1">IF(ISNA(MATCH($A11,Months,0))=TRUE,0,OFFSET(Forecast!$B$74,0,MATCH($A11,Months,0),1,1))</f>
        <v>0</v>
      </c>
      <c r="E11" s="61">
        <f t="shared" ref="E11:E61" ca="1" si="2">IF(AND(B11&gt;A10,B11&lt;=A11),IF($B$6="Yes",0,IF(ROW(D11)-ROW($D$9)&gt;$B$5*52,-PMT($B$4/12,$B$5*12,SUM(OFFSET(D11,0,0,-$B$5*12,1)),0,0),-PMT($B$4/12,$B$5*12,SUM(OFFSET(D11,0,0,ROW($D$8)-ROW(D11),1)),0,0))),0)</f>
        <v>0</v>
      </c>
      <c r="F11" s="61">
        <f t="shared" ref="F11:F61" ca="1" si="3">IF(AND(B11&gt;A10,B11&lt;=A11),(H10+D11)*$B$4/12,0)</f>
        <v>0</v>
      </c>
      <c r="G11" s="61">
        <f t="shared" ca="1" si="0"/>
        <v>0</v>
      </c>
      <c r="H11" s="62">
        <f ca="1">IF(ROUND(SUM(C11:D11,-G11),0)=0,0,IF($B$6="Yes",SUM($D$9:D11),SUM(C11:D11,-G11)))</f>
        <v>1085981.7095840708</v>
      </c>
      <c r="I11" s="84" t="str">
        <f ca="1">IF(E11&gt;0,MAX(I$9:I10)+1,"-")</f>
        <v>-</v>
      </c>
      <c r="J11" s="60"/>
      <c r="K11" s="60"/>
      <c r="L11" s="60"/>
      <c r="M11" s="60"/>
    </row>
    <row r="12" spans="1:13" s="46" customFormat="1" ht="15" customHeight="1" x14ac:dyDescent="0.3">
      <c r="A12" s="70">
        <f t="shared" ref="A12:A61" ca="1" si="4">DATE(YEAR(A11),MONTH(A11),DAY(A11)+7)</f>
        <v>42449</v>
      </c>
      <c r="B12" s="76">
        <f ca="1">IF(AND(B11&gt;A11,B11&lt;=A12),B11,DATE(YEAR(A12),MONTH(A12),IF(AND(MONTH(A12)=2,Assumptions!$B$35&gt;28),28,Assumptions!$B$35)))</f>
        <v>42434</v>
      </c>
      <c r="C12" s="60">
        <f t="shared" ca="1" si="1"/>
        <v>1085981.7095840708</v>
      </c>
      <c r="D12" s="60">
        <f ca="1">IF(ISNA(MATCH($A12,Months,0))=TRUE,0,OFFSET(Forecast!$B$74,0,MATCH($A12,Months,0),1,1))</f>
        <v>0</v>
      </c>
      <c r="E12" s="61">
        <f t="shared" ca="1" si="2"/>
        <v>0</v>
      </c>
      <c r="F12" s="61">
        <f t="shared" ca="1" si="3"/>
        <v>0</v>
      </c>
      <c r="G12" s="61">
        <f t="shared" ca="1" si="0"/>
        <v>0</v>
      </c>
      <c r="H12" s="62">
        <f ca="1">IF(ROUND(SUM(C12:D12,-G12),0)=0,0,IF($B$6="Yes",SUM($D$9:D12),SUM(C12:D12,-G12)))</f>
        <v>1085981.7095840708</v>
      </c>
      <c r="I12" s="84" t="str">
        <f ca="1">IF(E12&gt;0,MAX(I$9:I11)+1,"-")</f>
        <v>-</v>
      </c>
      <c r="J12" s="60"/>
      <c r="K12" s="60"/>
      <c r="L12" s="60"/>
      <c r="M12" s="60"/>
    </row>
    <row r="13" spans="1:13" s="46" customFormat="1" ht="15" customHeight="1" x14ac:dyDescent="0.3">
      <c r="A13" s="70">
        <f t="shared" ca="1" si="4"/>
        <v>42456</v>
      </c>
      <c r="B13" s="76">
        <f ca="1">IF(AND(B12&gt;A12,B12&lt;=A13),B12,DATE(YEAR(A13),MONTH(A13),IF(AND(MONTH(A13)=2,Assumptions!$B$35&gt;28),28,Assumptions!$B$35)))</f>
        <v>42434</v>
      </c>
      <c r="C13" s="60">
        <f t="shared" ca="1" si="1"/>
        <v>1085981.7095840708</v>
      </c>
      <c r="D13" s="60">
        <f ca="1">IF(ISNA(MATCH($A13,Months,0))=TRUE,0,OFFSET(Forecast!$B$74,0,MATCH($A13,Months,0),1,1))</f>
        <v>0</v>
      </c>
      <c r="E13" s="61">
        <f t="shared" ca="1" si="2"/>
        <v>0</v>
      </c>
      <c r="F13" s="61">
        <f t="shared" ca="1" si="3"/>
        <v>0</v>
      </c>
      <c r="G13" s="61">
        <f t="shared" ca="1" si="0"/>
        <v>0</v>
      </c>
      <c r="H13" s="62">
        <f ca="1">IF(ROUND(SUM(C13:D13,-G13),0)=0,0,IF($B$6="Yes",SUM($D$9:D13),SUM(C13:D13,-G13)))</f>
        <v>1085981.7095840708</v>
      </c>
      <c r="I13" s="84" t="str">
        <f ca="1">IF(E13&gt;0,MAX(I$9:I12)+1,"-")</f>
        <v>-</v>
      </c>
      <c r="J13" s="60"/>
      <c r="K13" s="60"/>
      <c r="L13" s="60"/>
      <c r="M13" s="60"/>
    </row>
    <row r="14" spans="1:13" s="46" customFormat="1" ht="15" customHeight="1" x14ac:dyDescent="0.3">
      <c r="A14" s="70">
        <f t="shared" ca="1" si="4"/>
        <v>42463</v>
      </c>
      <c r="B14" s="76">
        <f ca="1">IF(AND(B13&gt;A13,B13&lt;=A14),B13,DATE(YEAR(A14),MONTH(A14),IF(AND(MONTH(A14)=2,Assumptions!$B$35&gt;28),28,Assumptions!$B$35)))</f>
        <v>42465</v>
      </c>
      <c r="C14" s="60">
        <f t="shared" ca="1" si="1"/>
        <v>1085981.7095840708</v>
      </c>
      <c r="D14" s="60">
        <f ca="1">IF(ISNA(MATCH($A14,Months,0))=TRUE,0,OFFSET(Forecast!$B$74,0,MATCH($A14,Months,0),1,1))</f>
        <v>0</v>
      </c>
      <c r="E14" s="61">
        <f t="shared" ca="1" si="2"/>
        <v>0</v>
      </c>
      <c r="F14" s="61">
        <f t="shared" ca="1" si="3"/>
        <v>0</v>
      </c>
      <c r="G14" s="61">
        <f t="shared" ca="1" si="0"/>
        <v>0</v>
      </c>
      <c r="H14" s="62">
        <f ca="1">IF(ROUND(SUM(C14:D14,-G14),0)=0,0,IF($B$6="Yes",SUM($D$9:D14),SUM(C14:D14,-G14)))</f>
        <v>1085981.7095840708</v>
      </c>
      <c r="I14" s="84" t="str">
        <f ca="1">IF(E14&gt;0,MAX(I$9:I13)+1,"-")</f>
        <v>-</v>
      </c>
      <c r="J14" s="60"/>
      <c r="K14" s="60"/>
      <c r="L14" s="60"/>
      <c r="M14" s="60"/>
    </row>
    <row r="15" spans="1:13" s="46" customFormat="1" ht="15" customHeight="1" x14ac:dyDescent="0.3">
      <c r="A15" s="70">
        <f t="shared" ca="1" si="4"/>
        <v>42470</v>
      </c>
      <c r="B15" s="76">
        <f ca="1">IF(AND(B14&gt;A14,B14&lt;=A15),B14,DATE(YEAR(A15),MONTH(A15),IF(AND(MONTH(A15)=2,Assumptions!$B$35&gt;28),28,Assumptions!$B$35)))</f>
        <v>42465</v>
      </c>
      <c r="C15" s="60">
        <f t="shared" ca="1" si="1"/>
        <v>1085981.7095840708</v>
      </c>
      <c r="D15" s="60">
        <f ca="1">IF(ISNA(MATCH($A15,Months,0))=TRUE,0,OFFSET(Forecast!$B$74,0,MATCH($A15,Months,0),1,1))</f>
        <v>0</v>
      </c>
      <c r="E15" s="61">
        <f t="shared" ca="1" si="2"/>
        <v>23643.290415929208</v>
      </c>
      <c r="F15" s="61">
        <f t="shared" ca="1" si="3"/>
        <v>9502.3399588606189</v>
      </c>
      <c r="G15" s="61">
        <f t="shared" ca="1" si="0"/>
        <v>14140.950457068589</v>
      </c>
      <c r="H15" s="62">
        <f ca="1">IF(ROUND(SUM(C15:D15,-G15),0)=0,0,IF($B$6="Yes",SUM($D$9:D15),SUM(C15:D15,-G15)))</f>
        <v>1071840.7591270022</v>
      </c>
      <c r="I15" s="84">
        <f ca="1">IF(E15&gt;0,MAX(I$9:I14)+1,"-")</f>
        <v>2</v>
      </c>
      <c r="J15" s="60"/>
      <c r="K15" s="60"/>
      <c r="L15" s="60"/>
      <c r="M15" s="60"/>
    </row>
    <row r="16" spans="1:13" s="46" customFormat="1" ht="15" customHeight="1" x14ac:dyDescent="0.3">
      <c r="A16" s="70">
        <f t="shared" ca="1" si="4"/>
        <v>42477</v>
      </c>
      <c r="B16" s="76">
        <f ca="1">IF(AND(B15&gt;A15,B15&lt;=A16),B15,DATE(YEAR(A16),MONTH(A16),IF(AND(MONTH(A16)=2,Assumptions!$B$35&gt;28),28,Assumptions!$B$35)))</f>
        <v>42465</v>
      </c>
      <c r="C16" s="60">
        <f t="shared" ca="1" si="1"/>
        <v>1071840.7591270022</v>
      </c>
      <c r="D16" s="60">
        <f ca="1">IF(ISNA(MATCH($A16,Months,0))=TRUE,0,OFFSET(Forecast!$B$74,0,MATCH($A16,Months,0),1,1))</f>
        <v>0</v>
      </c>
      <c r="E16" s="61">
        <f t="shared" ca="1" si="2"/>
        <v>0</v>
      </c>
      <c r="F16" s="61">
        <f t="shared" ca="1" si="3"/>
        <v>0</v>
      </c>
      <c r="G16" s="61">
        <f t="shared" ca="1" si="0"/>
        <v>0</v>
      </c>
      <c r="H16" s="62">
        <f ca="1">IF(ROUND(SUM(C16:D16,-G16),0)=0,0,IF($B$6="Yes",SUM($D$9:D16),SUM(C16:D16,-G16)))</f>
        <v>1071840.7591270022</v>
      </c>
      <c r="I16" s="84" t="str">
        <f ca="1">IF(E16&gt;0,MAX(I$9:I15)+1,"-")</f>
        <v>-</v>
      </c>
      <c r="J16" s="60"/>
      <c r="K16" s="60"/>
      <c r="L16" s="60"/>
      <c r="M16" s="60"/>
    </row>
    <row r="17" spans="1:13" s="46" customFormat="1" ht="15" customHeight="1" x14ac:dyDescent="0.3">
      <c r="A17" s="70">
        <f t="shared" ca="1" si="4"/>
        <v>42484</v>
      </c>
      <c r="B17" s="76">
        <f ca="1">IF(AND(B16&gt;A16,B16&lt;=A17),B16,DATE(YEAR(A17),MONTH(A17),IF(AND(MONTH(A17)=2,Assumptions!$B$35&gt;28),28,Assumptions!$B$35)))</f>
        <v>42465</v>
      </c>
      <c r="C17" s="60">
        <f t="shared" ca="1" si="1"/>
        <v>1071840.7591270022</v>
      </c>
      <c r="D17" s="60">
        <f ca="1">IF(ISNA(MATCH($A17,Months,0))=TRUE,0,OFFSET(Forecast!$B$74,0,MATCH($A17,Months,0),1,1))</f>
        <v>0</v>
      </c>
      <c r="E17" s="61">
        <f t="shared" ca="1" si="2"/>
        <v>0</v>
      </c>
      <c r="F17" s="61">
        <f t="shared" ca="1" si="3"/>
        <v>0</v>
      </c>
      <c r="G17" s="61">
        <f t="shared" ca="1" si="0"/>
        <v>0</v>
      </c>
      <c r="H17" s="62">
        <f ca="1">IF(ROUND(SUM(C17:D17,-G17),0)=0,0,IF($B$6="Yes",SUM($D$9:D17),SUM(C17:D17,-G17)))</f>
        <v>1071840.7591270022</v>
      </c>
      <c r="I17" s="84" t="str">
        <f ca="1">IF(E17&gt;0,MAX(I$9:I16)+1,"-")</f>
        <v>-</v>
      </c>
      <c r="J17" s="60"/>
      <c r="K17" s="60"/>
      <c r="L17" s="60"/>
      <c r="M17" s="60"/>
    </row>
    <row r="18" spans="1:13" s="46" customFormat="1" ht="15" customHeight="1" x14ac:dyDescent="0.3">
      <c r="A18" s="70">
        <f t="shared" ca="1" si="4"/>
        <v>42491</v>
      </c>
      <c r="B18" s="76">
        <f ca="1">IF(AND(B17&gt;A17,B17&lt;=A18),B17,DATE(YEAR(A18),MONTH(A18),IF(AND(MONTH(A18)=2,Assumptions!$B$35&gt;28),28,Assumptions!$B$35)))</f>
        <v>42495</v>
      </c>
      <c r="C18" s="60">
        <f t="shared" ca="1" si="1"/>
        <v>1071840.7591270022</v>
      </c>
      <c r="D18" s="60">
        <f ca="1">IF(ISNA(MATCH($A18,Months,0))=TRUE,0,OFFSET(Forecast!$B$74,0,MATCH($A18,Months,0),1,1))</f>
        <v>0</v>
      </c>
      <c r="E18" s="61">
        <f t="shared" ca="1" si="2"/>
        <v>0</v>
      </c>
      <c r="F18" s="61">
        <f t="shared" ca="1" si="3"/>
        <v>0</v>
      </c>
      <c r="G18" s="61">
        <f t="shared" ca="1" si="0"/>
        <v>0</v>
      </c>
      <c r="H18" s="62">
        <f ca="1">IF(ROUND(SUM(C18:D18,-G18),0)=0,0,IF($B$6="Yes",SUM($D$9:D18),SUM(C18:D18,-G18)))</f>
        <v>1071840.7591270022</v>
      </c>
      <c r="I18" s="84" t="str">
        <f ca="1">IF(E18&gt;0,MAX(I$9:I17)+1,"-")</f>
        <v>-</v>
      </c>
      <c r="J18" s="60"/>
      <c r="K18" s="60"/>
      <c r="L18" s="60"/>
      <c r="M18" s="60"/>
    </row>
    <row r="19" spans="1:13" s="46" customFormat="1" ht="15" customHeight="1" x14ac:dyDescent="0.3">
      <c r="A19" s="70">
        <f t="shared" ca="1" si="4"/>
        <v>42498</v>
      </c>
      <c r="B19" s="76">
        <f ca="1">IF(AND(B18&gt;A18,B18&lt;=A19),B18,DATE(YEAR(A19),MONTH(A19),IF(AND(MONTH(A19)=2,Assumptions!$B$35&gt;28),28,Assumptions!$B$35)))</f>
        <v>42495</v>
      </c>
      <c r="C19" s="60">
        <f t="shared" ca="1" si="1"/>
        <v>1071840.7591270022</v>
      </c>
      <c r="D19" s="60">
        <f ca="1">IF(ISNA(MATCH($A19,Months,0))=TRUE,0,OFFSET(Forecast!$B$74,0,MATCH($A19,Months,0),1,1))</f>
        <v>0</v>
      </c>
      <c r="E19" s="61">
        <f t="shared" ca="1" si="2"/>
        <v>23643.290415929208</v>
      </c>
      <c r="F19" s="61">
        <f t="shared" ca="1" si="3"/>
        <v>9378.6066423612701</v>
      </c>
      <c r="G19" s="61">
        <f t="shared" ca="1" si="0"/>
        <v>14264.683773567938</v>
      </c>
      <c r="H19" s="62">
        <f ca="1">IF(ROUND(SUM(C19:D19,-G19),0)=0,0,IF($B$6="Yes",SUM($D$9:D19),SUM(C19:D19,-G19)))</f>
        <v>1057576.0753534343</v>
      </c>
      <c r="I19" s="84">
        <f ca="1">IF(E19&gt;0,MAX(I$9:I18)+1,"-")</f>
        <v>3</v>
      </c>
      <c r="J19" s="60"/>
      <c r="K19" s="60"/>
      <c r="L19" s="60"/>
      <c r="M19" s="60"/>
    </row>
    <row r="20" spans="1:13" ht="15" customHeight="1" x14ac:dyDescent="0.3">
      <c r="A20" s="70">
        <f t="shared" ca="1" si="4"/>
        <v>42505</v>
      </c>
      <c r="B20" s="76">
        <f ca="1">IF(AND(B19&gt;A19,B19&lt;=A20),B19,DATE(YEAR(A20),MONTH(A20),IF(AND(MONTH(A20)=2,Assumptions!$B$35&gt;28),28,Assumptions!$B$35)))</f>
        <v>42495</v>
      </c>
      <c r="C20" s="60">
        <f t="shared" ca="1" si="1"/>
        <v>1057576.0753534343</v>
      </c>
      <c r="D20" s="60">
        <f ca="1">IF(ISNA(MATCH($A20,Months,0))=TRUE,0,OFFSET(Forecast!$B$74,0,MATCH($A20,Months,0),1,1))</f>
        <v>0</v>
      </c>
      <c r="E20" s="61">
        <f t="shared" ca="1" si="2"/>
        <v>0</v>
      </c>
      <c r="F20" s="61">
        <f t="shared" ca="1" si="3"/>
        <v>0</v>
      </c>
      <c r="G20" s="61">
        <f t="shared" ca="1" si="0"/>
        <v>0</v>
      </c>
      <c r="H20" s="62">
        <f ca="1">IF(ROUND(SUM(C20:D20,-G20),0)=0,0,IF($B$6="Yes",SUM($D$9:D20),SUM(C20:D20,-G20)))</f>
        <v>1057576.0753534343</v>
      </c>
      <c r="I20" s="84" t="str">
        <f ca="1">IF(E20&gt;0,MAX(I$9:I19)+1,"-")</f>
        <v>-</v>
      </c>
    </row>
    <row r="21" spans="1:13" ht="15" customHeight="1" x14ac:dyDescent="0.3">
      <c r="A21" s="70">
        <f t="shared" ca="1" si="4"/>
        <v>42512</v>
      </c>
      <c r="B21" s="76">
        <f ca="1">IF(AND(B20&gt;A20,B20&lt;=A21),B20,DATE(YEAR(A21),MONTH(A21),IF(AND(MONTH(A21)=2,Assumptions!$B$35&gt;28),28,Assumptions!$B$35)))</f>
        <v>42495</v>
      </c>
      <c r="C21" s="60">
        <f t="shared" ca="1" si="1"/>
        <v>1057576.0753534343</v>
      </c>
      <c r="D21" s="60">
        <f ca="1">IF(ISNA(MATCH($A21,Months,0))=TRUE,0,OFFSET(Forecast!$B$74,0,MATCH($A21,Months,0),1,1))</f>
        <v>0</v>
      </c>
      <c r="E21" s="61">
        <f t="shared" ca="1" si="2"/>
        <v>0</v>
      </c>
      <c r="F21" s="61">
        <f t="shared" ca="1" si="3"/>
        <v>0</v>
      </c>
      <c r="G21" s="61">
        <f t="shared" ca="1" si="0"/>
        <v>0</v>
      </c>
      <c r="H21" s="62">
        <f ca="1">IF(ROUND(SUM(C21:D21,-G21),0)=0,0,IF($B$6="Yes",SUM($D$9:D21),SUM(C21:D21,-G21)))</f>
        <v>1057576.0753534343</v>
      </c>
      <c r="I21" s="84" t="str">
        <f ca="1">IF(E21&gt;0,MAX(I$9:I20)+1,"-")</f>
        <v>-</v>
      </c>
    </row>
    <row r="22" spans="1:13" ht="15" customHeight="1" x14ac:dyDescent="0.3">
      <c r="A22" s="70">
        <f t="shared" ca="1" si="4"/>
        <v>42519</v>
      </c>
      <c r="B22" s="76">
        <f ca="1">IF(AND(B21&gt;A21,B21&lt;=A22),B21,DATE(YEAR(A22),MONTH(A22),IF(AND(MONTH(A22)=2,Assumptions!$B$35&gt;28),28,Assumptions!$B$35)))</f>
        <v>42495</v>
      </c>
      <c r="C22" s="60">
        <f t="shared" ca="1" si="1"/>
        <v>1057576.0753534343</v>
      </c>
      <c r="D22" s="60">
        <f ca="1">IF(ISNA(MATCH($A22,Months,0))=TRUE,0,OFFSET(Forecast!$B$74,0,MATCH($A22,Months,0),1,1))</f>
        <v>100000</v>
      </c>
      <c r="E22" s="61">
        <f t="shared" ca="1" si="2"/>
        <v>0</v>
      </c>
      <c r="F22" s="61">
        <f t="shared" ca="1" si="3"/>
        <v>0</v>
      </c>
      <c r="G22" s="61">
        <f t="shared" ca="1" si="0"/>
        <v>0</v>
      </c>
      <c r="H22" s="62">
        <f ca="1">IF(ROUND(SUM(C22:D22,-G22),0)=0,0,IF($B$6="Yes",SUM($D$9:D22),SUM(C22:D22,-G22)))</f>
        <v>1157576.0753534343</v>
      </c>
      <c r="I22" s="84" t="str">
        <f ca="1">IF(E22&gt;0,MAX(I$9:I21)+1,"-")</f>
        <v>-</v>
      </c>
    </row>
    <row r="23" spans="1:13" s="38" customFormat="1" ht="15" customHeight="1" x14ac:dyDescent="0.3">
      <c r="A23" s="70">
        <f t="shared" ca="1" si="4"/>
        <v>42526</v>
      </c>
      <c r="B23" s="76">
        <f ca="1">IF(AND(B22&gt;A22,B22&lt;=A23),B22,DATE(YEAR(A23),MONTH(A23),IF(AND(MONTH(A23)=2,Assumptions!$B$35&gt;28),28,Assumptions!$B$35)))</f>
        <v>42526</v>
      </c>
      <c r="C23" s="60">
        <f t="shared" ca="1" si="1"/>
        <v>1157576.0753534343</v>
      </c>
      <c r="D23" s="60">
        <f ca="1">IF(ISNA(MATCH($A23,Months,0))=TRUE,0,OFFSET(Forecast!$B$74,0,MATCH($A23,Months,0),1,1))</f>
        <v>0</v>
      </c>
      <c r="E23" s="61">
        <f t="shared" ca="1" si="2"/>
        <v>25792.680453740952</v>
      </c>
      <c r="F23" s="61">
        <f t="shared" ca="1" si="3"/>
        <v>10128.790659342549</v>
      </c>
      <c r="G23" s="61">
        <f t="shared" ca="1" si="0"/>
        <v>15663.889794398403</v>
      </c>
      <c r="H23" s="62">
        <f ca="1">IF(ROUND(SUM(C23:D23,-G23),0)=0,0,IF($B$6="Yes",SUM($D$9:D23),SUM(C23:D23,-G23)))</f>
        <v>1141912.185559036</v>
      </c>
      <c r="I23" s="84">
        <f ca="1">IF(E23&gt;0,MAX(I$9:I22)+1,"-")</f>
        <v>4</v>
      </c>
      <c r="J23" s="47"/>
      <c r="K23" s="47"/>
      <c r="L23" s="47"/>
      <c r="M23" s="47"/>
    </row>
    <row r="24" spans="1:13" ht="15" customHeight="1" x14ac:dyDescent="0.3">
      <c r="A24" s="70">
        <f t="shared" ca="1" si="4"/>
        <v>42533</v>
      </c>
      <c r="B24" s="76">
        <f ca="1">IF(AND(B23&gt;A23,B23&lt;=A24),B23,DATE(YEAR(A24),MONTH(A24),IF(AND(MONTH(A24)=2,Assumptions!$B$35&gt;28),28,Assumptions!$B$35)))</f>
        <v>42526</v>
      </c>
      <c r="C24" s="60">
        <f t="shared" ca="1" si="1"/>
        <v>1141912.185559036</v>
      </c>
      <c r="D24" s="60">
        <f ca="1">IF(ISNA(MATCH($A24,Months,0))=TRUE,0,OFFSET(Forecast!$B$74,0,MATCH($A24,Months,0),1,1))</f>
        <v>0</v>
      </c>
      <c r="E24" s="61">
        <f t="shared" ca="1" si="2"/>
        <v>0</v>
      </c>
      <c r="F24" s="61">
        <f t="shared" ca="1" si="3"/>
        <v>0</v>
      </c>
      <c r="G24" s="61">
        <f t="shared" ca="1" si="0"/>
        <v>0</v>
      </c>
      <c r="H24" s="62">
        <f ca="1">IF(ROUND(SUM(C24:D24,-G24),0)=0,0,IF($B$6="Yes",SUM($D$9:D24),SUM(C24:D24,-G24)))</f>
        <v>1141912.185559036</v>
      </c>
      <c r="I24" s="84" t="str">
        <f ca="1">IF(E24&gt;0,MAX(I$9:I23)+1,"-")</f>
        <v>-</v>
      </c>
    </row>
    <row r="25" spans="1:13" ht="15" customHeight="1" x14ac:dyDescent="0.3">
      <c r="A25" s="70">
        <f t="shared" ca="1" si="4"/>
        <v>42540</v>
      </c>
      <c r="B25" s="76">
        <f ca="1">IF(AND(B24&gt;A24,B24&lt;=A25),B24,DATE(YEAR(A25),MONTH(A25),IF(AND(MONTH(A25)=2,Assumptions!$B$35&gt;28),28,Assumptions!$B$35)))</f>
        <v>42526</v>
      </c>
      <c r="C25" s="60">
        <f t="shared" ca="1" si="1"/>
        <v>1141912.185559036</v>
      </c>
      <c r="D25" s="60">
        <f ca="1">IF(ISNA(MATCH($A25,Months,0))=TRUE,0,OFFSET(Forecast!$B$74,0,MATCH($A25,Months,0),1,1))</f>
        <v>0</v>
      </c>
      <c r="E25" s="61">
        <f t="shared" ca="1" si="2"/>
        <v>0</v>
      </c>
      <c r="F25" s="61">
        <f t="shared" ca="1" si="3"/>
        <v>0</v>
      </c>
      <c r="G25" s="61">
        <f t="shared" ca="1" si="0"/>
        <v>0</v>
      </c>
      <c r="H25" s="62">
        <f ca="1">IF(ROUND(SUM(C25:D25,-G25),0)=0,0,IF($B$6="Yes",SUM($D$9:D25),SUM(C25:D25,-G25)))</f>
        <v>1141912.185559036</v>
      </c>
      <c r="I25" s="84" t="str">
        <f ca="1">IF(E25&gt;0,MAX(I$9:I24)+1,"-")</f>
        <v>-</v>
      </c>
    </row>
    <row r="26" spans="1:13" ht="15" customHeight="1" x14ac:dyDescent="0.3">
      <c r="A26" s="70">
        <f t="shared" ca="1" si="4"/>
        <v>42547</v>
      </c>
      <c r="B26" s="76">
        <f ca="1">IF(AND(B25&gt;A25,B25&lt;=A26),B25,DATE(YEAR(A26),MONTH(A26),IF(AND(MONTH(A26)=2,Assumptions!$B$35&gt;28),28,Assumptions!$B$35)))</f>
        <v>42526</v>
      </c>
      <c r="C26" s="60">
        <f t="shared" ca="1" si="1"/>
        <v>1141912.185559036</v>
      </c>
      <c r="D26" s="60">
        <f ca="1">IF(ISNA(MATCH($A26,Months,0))=TRUE,0,OFFSET(Forecast!$B$74,0,MATCH($A26,Months,0),1,1))</f>
        <v>0</v>
      </c>
      <c r="E26" s="61">
        <f t="shared" ca="1" si="2"/>
        <v>0</v>
      </c>
      <c r="F26" s="61">
        <f t="shared" ca="1" si="3"/>
        <v>0</v>
      </c>
      <c r="G26" s="61">
        <f t="shared" ca="1" si="0"/>
        <v>0</v>
      </c>
      <c r="H26" s="62">
        <f ca="1">IF(ROUND(SUM(C26:D26,-G26),0)=0,0,IF($B$6="Yes",SUM($D$9:D26),SUM(C26:D26,-G26)))</f>
        <v>1141912.185559036</v>
      </c>
      <c r="I26" s="84" t="str">
        <f ca="1">IF(E26&gt;0,MAX(I$9:I25)+1,"-")</f>
        <v>-</v>
      </c>
    </row>
    <row r="27" spans="1:13" ht="15" customHeight="1" x14ac:dyDescent="0.3">
      <c r="A27" s="70">
        <f t="shared" ca="1" si="4"/>
        <v>42554</v>
      </c>
      <c r="B27" s="76">
        <f ca="1">IF(AND(B26&gt;A26,B26&lt;=A27),B26,DATE(YEAR(A27),MONTH(A27),IF(AND(MONTH(A27)=2,Assumptions!$B$35&gt;28),28,Assumptions!$B$35)))</f>
        <v>42556</v>
      </c>
      <c r="C27" s="60">
        <f t="shared" ca="1" si="1"/>
        <v>1141912.185559036</v>
      </c>
      <c r="D27" s="60">
        <f ca="1">IF(ISNA(MATCH($A27,Months,0))=TRUE,0,OFFSET(Forecast!$B$74,0,MATCH($A27,Months,0),1,1))</f>
        <v>0</v>
      </c>
      <c r="E27" s="61">
        <f t="shared" ca="1" si="2"/>
        <v>0</v>
      </c>
      <c r="F27" s="61">
        <f t="shared" ca="1" si="3"/>
        <v>0</v>
      </c>
      <c r="G27" s="61">
        <f t="shared" ca="1" si="0"/>
        <v>0</v>
      </c>
      <c r="H27" s="62">
        <f ca="1">IF(ROUND(SUM(C27:D27,-G27),0)=0,0,IF($B$6="Yes",SUM($D$9:D27),SUM(C27:D27,-G27)))</f>
        <v>1141912.185559036</v>
      </c>
      <c r="I27" s="84" t="str">
        <f ca="1">IF(E27&gt;0,MAX(I$9:I26)+1,"-")</f>
        <v>-</v>
      </c>
    </row>
    <row r="28" spans="1:13" ht="15" customHeight="1" x14ac:dyDescent="0.3">
      <c r="A28" s="70">
        <f t="shared" ca="1" si="4"/>
        <v>42561</v>
      </c>
      <c r="B28" s="76">
        <f ca="1">IF(AND(B27&gt;A27,B27&lt;=A28),B27,DATE(YEAR(A28),MONTH(A28),IF(AND(MONTH(A28)=2,Assumptions!$B$35&gt;28),28,Assumptions!$B$35)))</f>
        <v>42556</v>
      </c>
      <c r="C28" s="60">
        <f t="shared" ca="1" si="1"/>
        <v>1141912.185559036</v>
      </c>
      <c r="D28" s="60">
        <f ca="1">IF(ISNA(MATCH($A28,Months,0))=TRUE,0,OFFSET(Forecast!$B$74,0,MATCH($A28,Months,0),1,1))</f>
        <v>0</v>
      </c>
      <c r="E28" s="61">
        <f t="shared" ca="1" si="2"/>
        <v>25792.680453740952</v>
      </c>
      <c r="F28" s="61">
        <f t="shared" ca="1" si="3"/>
        <v>9991.7316236415645</v>
      </c>
      <c r="G28" s="61">
        <f t="shared" ca="1" si="0"/>
        <v>15800.948830099387</v>
      </c>
      <c r="H28" s="62">
        <f ca="1">IF(ROUND(SUM(C28:D28,-G28),0)=0,0,IF($B$6="Yes",SUM($D$9:D28),SUM(C28:D28,-G28)))</f>
        <v>1126111.2367289367</v>
      </c>
      <c r="I28" s="84">
        <f ca="1">IF(E28&gt;0,MAX(I$9:I27)+1,"-")</f>
        <v>5</v>
      </c>
    </row>
    <row r="29" spans="1:13" ht="15" customHeight="1" x14ac:dyDescent="0.3">
      <c r="A29" s="70">
        <f t="shared" ca="1" si="4"/>
        <v>42568</v>
      </c>
      <c r="B29" s="76">
        <f ca="1">IF(AND(B28&gt;A28,B28&lt;=A29),B28,DATE(YEAR(A29),MONTH(A29),IF(AND(MONTH(A29)=2,Assumptions!$B$35&gt;28),28,Assumptions!$B$35)))</f>
        <v>42556</v>
      </c>
      <c r="C29" s="60">
        <f t="shared" ca="1" si="1"/>
        <v>1126111.2367289367</v>
      </c>
      <c r="D29" s="60">
        <f ca="1">IF(ISNA(MATCH($A29,Months,0))=TRUE,0,OFFSET(Forecast!$B$74,0,MATCH($A29,Months,0),1,1))</f>
        <v>0</v>
      </c>
      <c r="E29" s="61">
        <f t="shared" ca="1" si="2"/>
        <v>0</v>
      </c>
      <c r="F29" s="61">
        <f t="shared" ca="1" si="3"/>
        <v>0</v>
      </c>
      <c r="G29" s="61">
        <f t="shared" ca="1" si="0"/>
        <v>0</v>
      </c>
      <c r="H29" s="62">
        <f ca="1">IF(ROUND(SUM(C29:D29,-G29),0)=0,0,IF($B$6="Yes",SUM($D$9:D29),SUM(C29:D29,-G29)))</f>
        <v>1126111.2367289367</v>
      </c>
      <c r="I29" s="84" t="str">
        <f ca="1">IF(E29&gt;0,MAX(I$9:I28)+1,"-")</f>
        <v>-</v>
      </c>
    </row>
    <row r="30" spans="1:13" ht="15" customHeight="1" x14ac:dyDescent="0.3">
      <c r="A30" s="70">
        <f t="shared" ca="1" si="4"/>
        <v>42575</v>
      </c>
      <c r="B30" s="76">
        <f ca="1">IF(AND(B29&gt;A29,B29&lt;=A30),B29,DATE(YEAR(A30),MONTH(A30),IF(AND(MONTH(A30)=2,Assumptions!$B$35&gt;28),28,Assumptions!$B$35)))</f>
        <v>42556</v>
      </c>
      <c r="C30" s="60">
        <f t="shared" ca="1" si="1"/>
        <v>1126111.2367289367</v>
      </c>
      <c r="D30" s="60">
        <f ca="1">IF(ISNA(MATCH($A30,Months,0))=TRUE,0,OFFSET(Forecast!$B$74,0,MATCH($A30,Months,0),1,1))</f>
        <v>0</v>
      </c>
      <c r="E30" s="61">
        <f t="shared" ca="1" si="2"/>
        <v>0</v>
      </c>
      <c r="F30" s="61">
        <f t="shared" ca="1" si="3"/>
        <v>0</v>
      </c>
      <c r="G30" s="61">
        <f t="shared" ca="1" si="0"/>
        <v>0</v>
      </c>
      <c r="H30" s="62">
        <f ca="1">IF(ROUND(SUM(C30:D30,-G30),0)=0,0,IF($B$6="Yes",SUM($D$9:D30),SUM(C30:D30,-G30)))</f>
        <v>1126111.2367289367</v>
      </c>
      <c r="I30" s="84" t="str">
        <f ca="1">IF(E30&gt;0,MAX(I$9:I29)+1,"-")</f>
        <v>-</v>
      </c>
    </row>
    <row r="31" spans="1:13" ht="15" customHeight="1" x14ac:dyDescent="0.3">
      <c r="A31" s="70">
        <f t="shared" ca="1" si="4"/>
        <v>42582</v>
      </c>
      <c r="B31" s="76">
        <f ca="1">IF(AND(B30&gt;A30,B30&lt;=A31),B30,DATE(YEAR(A31),MONTH(A31),IF(AND(MONTH(A31)=2,Assumptions!$B$35&gt;28),28,Assumptions!$B$35)))</f>
        <v>42556</v>
      </c>
      <c r="C31" s="60">
        <f t="shared" ca="1" si="1"/>
        <v>1126111.2367289367</v>
      </c>
      <c r="D31" s="60">
        <f ca="1">IF(ISNA(MATCH($A31,Months,0))=TRUE,0,OFFSET(Forecast!$B$74,0,MATCH($A31,Months,0),1,1))</f>
        <v>0</v>
      </c>
      <c r="E31" s="61">
        <f t="shared" ca="1" si="2"/>
        <v>0</v>
      </c>
      <c r="F31" s="61">
        <f t="shared" ca="1" si="3"/>
        <v>0</v>
      </c>
      <c r="G31" s="61">
        <f t="shared" ca="1" si="0"/>
        <v>0</v>
      </c>
      <c r="H31" s="62">
        <f ca="1">IF(ROUND(SUM(C31:D31,-G31),0)=0,0,IF($B$6="Yes",SUM($D$9:D31),SUM(C31:D31,-G31)))</f>
        <v>1126111.2367289367</v>
      </c>
      <c r="I31" s="84" t="str">
        <f ca="1">IF(E31&gt;0,MAX(I$9:I30)+1,"-")</f>
        <v>-</v>
      </c>
    </row>
    <row r="32" spans="1:13" ht="15" customHeight="1" x14ac:dyDescent="0.3">
      <c r="A32" s="70">
        <f t="shared" ca="1" si="4"/>
        <v>42589</v>
      </c>
      <c r="B32" s="76">
        <f ca="1">IF(AND(B31&gt;A31,B31&lt;=A32),B31,DATE(YEAR(A32),MONTH(A32),IF(AND(MONTH(A32)=2,Assumptions!$B$35&gt;28),28,Assumptions!$B$35)))</f>
        <v>42587</v>
      </c>
      <c r="C32" s="60">
        <f t="shared" ca="1" si="1"/>
        <v>1126111.2367289367</v>
      </c>
      <c r="D32" s="60">
        <f ca="1">IF(ISNA(MATCH($A32,Months,0))=TRUE,0,OFFSET(Forecast!$B$74,0,MATCH($A32,Months,0),1,1))</f>
        <v>0</v>
      </c>
      <c r="E32" s="61">
        <f t="shared" ca="1" si="2"/>
        <v>25792.680453740952</v>
      </c>
      <c r="F32" s="61">
        <f t="shared" ca="1" si="3"/>
        <v>9853.4733213781965</v>
      </c>
      <c r="G32" s="61">
        <f t="shared" ca="1" si="0"/>
        <v>15939.207132362755</v>
      </c>
      <c r="H32" s="62">
        <f ca="1">IF(ROUND(SUM(C32:D32,-G32),0)=0,0,IF($B$6="Yes",SUM($D$9:D32),SUM(C32:D32,-G32)))</f>
        <v>1110172.0295965739</v>
      </c>
      <c r="I32" s="84">
        <f ca="1">IF(E32&gt;0,MAX(I$9:I31)+1,"-")</f>
        <v>6</v>
      </c>
    </row>
    <row r="33" spans="1:9" ht="15" customHeight="1" x14ac:dyDescent="0.3">
      <c r="A33" s="70">
        <f t="shared" ca="1" si="4"/>
        <v>42596</v>
      </c>
      <c r="B33" s="76">
        <f ca="1">IF(AND(B32&gt;A32,B32&lt;=A33),B32,DATE(YEAR(A33),MONTH(A33),IF(AND(MONTH(A33)=2,Assumptions!$B$35&gt;28),28,Assumptions!$B$35)))</f>
        <v>42587</v>
      </c>
      <c r="C33" s="60">
        <f t="shared" ca="1" si="1"/>
        <v>1110172.0295965739</v>
      </c>
      <c r="D33" s="60">
        <f ca="1">IF(ISNA(MATCH($A33,Months,0))=TRUE,0,OFFSET(Forecast!$B$74,0,MATCH($A33,Months,0),1,1))</f>
        <v>0</v>
      </c>
      <c r="E33" s="61">
        <f t="shared" ca="1" si="2"/>
        <v>0</v>
      </c>
      <c r="F33" s="61">
        <f t="shared" ca="1" si="3"/>
        <v>0</v>
      </c>
      <c r="G33" s="61">
        <f t="shared" ca="1" si="0"/>
        <v>0</v>
      </c>
      <c r="H33" s="62">
        <f ca="1">IF(ROUND(SUM(C33:D33,-G33),0)=0,0,IF($B$6="Yes",SUM($D$9:D33),SUM(C33:D33,-G33)))</f>
        <v>1110172.0295965739</v>
      </c>
      <c r="I33" s="84" t="str">
        <f ca="1">IF(E33&gt;0,MAX(I$9:I32)+1,"-")</f>
        <v>-</v>
      </c>
    </row>
    <row r="34" spans="1:9" ht="15" customHeight="1" x14ac:dyDescent="0.3">
      <c r="A34" s="70">
        <f t="shared" ca="1" si="4"/>
        <v>42603</v>
      </c>
      <c r="B34" s="76">
        <f ca="1">IF(AND(B33&gt;A33,B33&lt;=A34),B33,DATE(YEAR(A34),MONTH(A34),IF(AND(MONTH(A34)=2,Assumptions!$B$35&gt;28),28,Assumptions!$B$35)))</f>
        <v>42587</v>
      </c>
      <c r="C34" s="60">
        <f t="shared" ca="1" si="1"/>
        <v>1110172.0295965739</v>
      </c>
      <c r="D34" s="60">
        <f ca="1">IF(ISNA(MATCH($A34,Months,0))=TRUE,0,OFFSET(Forecast!$B$74,0,MATCH($A34,Months,0),1,1))</f>
        <v>0</v>
      </c>
      <c r="E34" s="61">
        <f t="shared" ca="1" si="2"/>
        <v>0</v>
      </c>
      <c r="F34" s="61">
        <f t="shared" ca="1" si="3"/>
        <v>0</v>
      </c>
      <c r="G34" s="61">
        <f t="shared" ca="1" si="0"/>
        <v>0</v>
      </c>
      <c r="H34" s="62">
        <f ca="1">IF(ROUND(SUM(C34:D34,-G34),0)=0,0,IF($B$6="Yes",SUM($D$9:D34),SUM(C34:D34,-G34)))</f>
        <v>1110172.0295965739</v>
      </c>
      <c r="I34" s="84" t="str">
        <f ca="1">IF(E34&gt;0,MAX(I$9:I33)+1,"-")</f>
        <v>-</v>
      </c>
    </row>
    <row r="35" spans="1:9" ht="15" customHeight="1" x14ac:dyDescent="0.3">
      <c r="A35" s="70">
        <f t="shared" ca="1" si="4"/>
        <v>42610</v>
      </c>
      <c r="B35" s="76">
        <f ca="1">IF(AND(B34&gt;A34,B34&lt;=A35),B34,DATE(YEAR(A35),MONTH(A35),IF(AND(MONTH(A35)=2,Assumptions!$B$35&gt;28),28,Assumptions!$B$35)))</f>
        <v>42587</v>
      </c>
      <c r="C35" s="60">
        <f t="shared" ca="1" si="1"/>
        <v>1110172.0295965739</v>
      </c>
      <c r="D35" s="60">
        <f ca="1">IF(ISNA(MATCH($A35,Months,0))=TRUE,0,OFFSET(Forecast!$B$74,0,MATCH($A35,Months,0),1,1))</f>
        <v>0</v>
      </c>
      <c r="E35" s="61">
        <f t="shared" ca="1" si="2"/>
        <v>0</v>
      </c>
      <c r="F35" s="61">
        <f t="shared" ca="1" si="3"/>
        <v>0</v>
      </c>
      <c r="G35" s="61">
        <f t="shared" ca="1" si="0"/>
        <v>0</v>
      </c>
      <c r="H35" s="62">
        <f ca="1">IF(ROUND(SUM(C35:D35,-G35),0)=0,0,IF($B$6="Yes",SUM($D$9:D35),SUM(C35:D35,-G35)))</f>
        <v>1110172.0295965739</v>
      </c>
      <c r="I35" s="84" t="str">
        <f ca="1">IF(E35&gt;0,MAX(I$9:I34)+1,"-")</f>
        <v>-</v>
      </c>
    </row>
    <row r="36" spans="1:9" ht="15" customHeight="1" x14ac:dyDescent="0.3">
      <c r="A36" s="70">
        <f t="shared" ca="1" si="4"/>
        <v>42617</v>
      </c>
      <c r="B36" s="76">
        <f ca="1">IF(AND(B35&gt;A35,B35&lt;=A36),B35,DATE(YEAR(A36),MONTH(A36),IF(AND(MONTH(A36)=2,Assumptions!$B$35&gt;28),28,Assumptions!$B$35)))</f>
        <v>42618</v>
      </c>
      <c r="C36" s="60">
        <f t="shared" ca="1" si="1"/>
        <v>1110172.0295965739</v>
      </c>
      <c r="D36" s="60">
        <f ca="1">IF(ISNA(MATCH($A36,Months,0))=TRUE,0,OFFSET(Forecast!$B$74,0,MATCH($A36,Months,0),1,1))</f>
        <v>0</v>
      </c>
      <c r="E36" s="61">
        <f t="shared" ca="1" si="2"/>
        <v>0</v>
      </c>
      <c r="F36" s="61">
        <f t="shared" ca="1" si="3"/>
        <v>0</v>
      </c>
      <c r="G36" s="61">
        <f t="shared" ca="1" si="0"/>
        <v>0</v>
      </c>
      <c r="H36" s="62">
        <f ca="1">IF(ROUND(SUM(C36:D36,-G36),0)=0,0,IF($B$6="Yes",SUM($D$9:D36),SUM(C36:D36,-G36)))</f>
        <v>1110172.0295965739</v>
      </c>
      <c r="I36" s="84" t="str">
        <f ca="1">IF(E36&gt;0,MAX(I$9:I35)+1,"-")</f>
        <v>-</v>
      </c>
    </row>
    <row r="37" spans="1:9" ht="15" customHeight="1" x14ac:dyDescent="0.3">
      <c r="A37" s="70">
        <f t="shared" ca="1" si="4"/>
        <v>42624</v>
      </c>
      <c r="B37" s="76">
        <f ca="1">IF(AND(B36&gt;A36,B36&lt;=A37),B36,DATE(YEAR(A37),MONTH(A37),IF(AND(MONTH(A37)=2,Assumptions!$B$35&gt;28),28,Assumptions!$B$35)))</f>
        <v>42618</v>
      </c>
      <c r="C37" s="60">
        <f t="shared" ca="1" si="1"/>
        <v>1110172.0295965739</v>
      </c>
      <c r="D37" s="60">
        <f ca="1">IF(ISNA(MATCH($A37,Months,0))=TRUE,0,OFFSET(Forecast!$B$74,0,MATCH($A37,Months,0),1,1))</f>
        <v>0</v>
      </c>
      <c r="E37" s="61">
        <f t="shared" ca="1" si="2"/>
        <v>25792.680453740952</v>
      </c>
      <c r="F37" s="61">
        <f t="shared" ca="1" si="3"/>
        <v>9714.0052589700208</v>
      </c>
      <c r="G37" s="61">
        <f t="shared" ca="1" si="0"/>
        <v>16078.675194770931</v>
      </c>
      <c r="H37" s="62">
        <f ca="1">IF(ROUND(SUM(C37:D37,-G37),0)=0,0,IF($B$6="Yes",SUM($D$9:D37),SUM(C37:D37,-G37)))</f>
        <v>1094093.3544018029</v>
      </c>
      <c r="I37" s="84">
        <f ca="1">IF(E37&gt;0,MAX(I$9:I36)+1,"-")</f>
        <v>7</v>
      </c>
    </row>
    <row r="38" spans="1:9" ht="15" customHeight="1" x14ac:dyDescent="0.3">
      <c r="A38" s="70">
        <f t="shared" ca="1" si="4"/>
        <v>42631</v>
      </c>
      <c r="B38" s="76">
        <f ca="1">IF(AND(B37&gt;A37,B37&lt;=A38),B37,DATE(YEAR(A38),MONTH(A38),IF(AND(MONTH(A38)=2,Assumptions!$B$35&gt;28),28,Assumptions!$B$35)))</f>
        <v>42618</v>
      </c>
      <c r="C38" s="60">
        <f t="shared" ca="1" si="1"/>
        <v>1094093.3544018029</v>
      </c>
      <c r="D38" s="60">
        <f ca="1">IF(ISNA(MATCH($A38,Months,0))=TRUE,0,OFFSET(Forecast!$B$74,0,MATCH($A38,Months,0),1,1))</f>
        <v>0</v>
      </c>
      <c r="E38" s="61">
        <f t="shared" ca="1" si="2"/>
        <v>0</v>
      </c>
      <c r="F38" s="61">
        <f t="shared" ca="1" si="3"/>
        <v>0</v>
      </c>
      <c r="G38" s="61">
        <f t="shared" ca="1" si="0"/>
        <v>0</v>
      </c>
      <c r="H38" s="62">
        <f ca="1">IF(ROUND(SUM(C38:D38,-G38),0)=0,0,IF($B$6="Yes",SUM($D$9:D38),SUM(C38:D38,-G38)))</f>
        <v>1094093.3544018029</v>
      </c>
      <c r="I38" s="84" t="str">
        <f ca="1">IF(E38&gt;0,MAX(I$9:I37)+1,"-")</f>
        <v>-</v>
      </c>
    </row>
    <row r="39" spans="1:9" ht="15" customHeight="1" x14ac:dyDescent="0.3">
      <c r="A39" s="70">
        <f t="shared" ca="1" si="4"/>
        <v>42638</v>
      </c>
      <c r="B39" s="76">
        <f ca="1">IF(AND(B38&gt;A38,B38&lt;=A39),B38,DATE(YEAR(A39),MONTH(A39),IF(AND(MONTH(A39)=2,Assumptions!$B$35&gt;28),28,Assumptions!$B$35)))</f>
        <v>42618</v>
      </c>
      <c r="C39" s="60">
        <f t="shared" ca="1" si="1"/>
        <v>1094093.3544018029</v>
      </c>
      <c r="D39" s="60">
        <f ca="1">IF(ISNA(MATCH($A39,Months,0))=TRUE,0,OFFSET(Forecast!$B$74,0,MATCH($A39,Months,0),1,1))</f>
        <v>0</v>
      </c>
      <c r="E39" s="61">
        <f t="shared" ca="1" si="2"/>
        <v>0</v>
      </c>
      <c r="F39" s="61">
        <f t="shared" ca="1" si="3"/>
        <v>0</v>
      </c>
      <c r="G39" s="61">
        <f t="shared" ca="1" si="0"/>
        <v>0</v>
      </c>
      <c r="H39" s="62">
        <f ca="1">IF(ROUND(SUM(C39:D39,-G39),0)=0,0,IF($B$6="Yes",SUM($D$9:D39),SUM(C39:D39,-G39)))</f>
        <v>1094093.3544018029</v>
      </c>
      <c r="I39" s="84" t="str">
        <f ca="1">IF(E39&gt;0,MAX(I$9:I38)+1,"-")</f>
        <v>-</v>
      </c>
    </row>
    <row r="40" spans="1:9" ht="15" customHeight="1" x14ac:dyDescent="0.3">
      <c r="A40" s="70">
        <f t="shared" ca="1" si="4"/>
        <v>42645</v>
      </c>
      <c r="B40" s="76">
        <f ca="1">IF(AND(B39&gt;A39,B39&lt;=A40),B39,DATE(YEAR(A40),MONTH(A40),IF(AND(MONTH(A40)=2,Assumptions!$B$35&gt;28),28,Assumptions!$B$35)))</f>
        <v>42648</v>
      </c>
      <c r="C40" s="60">
        <f t="shared" ca="1" si="1"/>
        <v>1094093.3544018029</v>
      </c>
      <c r="D40" s="60">
        <f ca="1">IF(ISNA(MATCH($A40,Months,0))=TRUE,0,OFFSET(Forecast!$B$74,0,MATCH($A40,Months,0),1,1))</f>
        <v>0</v>
      </c>
      <c r="E40" s="61">
        <f t="shared" ca="1" si="2"/>
        <v>0</v>
      </c>
      <c r="F40" s="61">
        <f t="shared" ca="1" si="3"/>
        <v>0</v>
      </c>
      <c r="G40" s="61">
        <f t="shared" ca="1" si="0"/>
        <v>0</v>
      </c>
      <c r="H40" s="62">
        <f ca="1">IF(ROUND(SUM(C40:D40,-G40),0)=0,0,IF($B$6="Yes",SUM($D$9:D40),SUM(C40:D40,-G40)))</f>
        <v>1094093.3544018029</v>
      </c>
      <c r="I40" s="84" t="str">
        <f ca="1">IF(E40&gt;0,MAX(I$9:I39)+1,"-")</f>
        <v>-</v>
      </c>
    </row>
    <row r="41" spans="1:9" ht="15" customHeight="1" x14ac:dyDescent="0.3">
      <c r="A41" s="70">
        <f t="shared" ca="1" si="4"/>
        <v>42652</v>
      </c>
      <c r="B41" s="76">
        <f ca="1">IF(AND(B40&gt;A40,B40&lt;=A41),B40,DATE(YEAR(A41),MONTH(A41),IF(AND(MONTH(A41)=2,Assumptions!$B$35&gt;28),28,Assumptions!$B$35)))</f>
        <v>42648</v>
      </c>
      <c r="C41" s="60">
        <f t="shared" ca="1" si="1"/>
        <v>1094093.3544018029</v>
      </c>
      <c r="D41" s="60">
        <f ca="1">IF(ISNA(MATCH($A41,Months,0))=TRUE,0,OFFSET(Forecast!$B$74,0,MATCH($A41,Months,0),1,1))</f>
        <v>0</v>
      </c>
      <c r="E41" s="61">
        <f t="shared" ca="1" si="2"/>
        <v>25792.680453740952</v>
      </c>
      <c r="F41" s="61">
        <f t="shared" ca="1" si="3"/>
        <v>9573.3168510157757</v>
      </c>
      <c r="G41" s="61">
        <f t="shared" ref="G41:G61" ca="1" si="5">IF($B$6="Yes",0,E41-F41)</f>
        <v>16219.363602725176</v>
      </c>
      <c r="H41" s="62">
        <f ca="1">IF(ROUND(SUM(C41:D41,-G41),0)=0,0,IF($B$6="Yes",SUM($D$9:D41),SUM(C41:D41,-G41)))</f>
        <v>1077873.9907990778</v>
      </c>
      <c r="I41" s="84">
        <f ca="1">IF(E41&gt;0,MAX(I$9:I40)+1,"-")</f>
        <v>8</v>
      </c>
    </row>
    <row r="42" spans="1:9" ht="15" customHeight="1" x14ac:dyDescent="0.3">
      <c r="A42" s="70">
        <f t="shared" ca="1" si="4"/>
        <v>42659</v>
      </c>
      <c r="B42" s="76">
        <f ca="1">IF(AND(B41&gt;A41,B41&lt;=A42),B41,DATE(YEAR(A42),MONTH(A42),IF(AND(MONTH(A42)=2,Assumptions!$B$35&gt;28),28,Assumptions!$B$35)))</f>
        <v>42648</v>
      </c>
      <c r="C42" s="60">
        <f t="shared" ca="1" si="1"/>
        <v>1077873.9907990778</v>
      </c>
      <c r="D42" s="60">
        <f ca="1">IF(ISNA(MATCH($A42,Months,0))=TRUE,0,OFFSET(Forecast!$B$74,0,MATCH($A42,Months,0),1,1))</f>
        <v>0</v>
      </c>
      <c r="E42" s="61">
        <f t="shared" ca="1" si="2"/>
        <v>0</v>
      </c>
      <c r="F42" s="61">
        <f t="shared" ca="1" si="3"/>
        <v>0</v>
      </c>
      <c r="G42" s="61">
        <f t="shared" ca="1" si="5"/>
        <v>0</v>
      </c>
      <c r="H42" s="62">
        <f ca="1">IF(ROUND(SUM(C42:D42,-G42),0)=0,0,IF($B$6="Yes",SUM($D$9:D42),SUM(C42:D42,-G42)))</f>
        <v>1077873.9907990778</v>
      </c>
      <c r="I42" s="84" t="str">
        <f ca="1">IF(E42&gt;0,MAX(I$9:I41)+1,"-")</f>
        <v>-</v>
      </c>
    </row>
    <row r="43" spans="1:9" ht="15" customHeight="1" x14ac:dyDescent="0.3">
      <c r="A43" s="70">
        <f t="shared" ca="1" si="4"/>
        <v>42666</v>
      </c>
      <c r="B43" s="76">
        <f ca="1">IF(AND(B42&gt;A42,B42&lt;=A43),B42,DATE(YEAR(A43),MONTH(A43),IF(AND(MONTH(A43)=2,Assumptions!$B$35&gt;28),28,Assumptions!$B$35)))</f>
        <v>42648</v>
      </c>
      <c r="C43" s="60">
        <f t="shared" ca="1" si="1"/>
        <v>1077873.9907990778</v>
      </c>
      <c r="D43" s="60">
        <f ca="1">IF(ISNA(MATCH($A43,Months,0))=TRUE,0,OFFSET(Forecast!$B$74,0,MATCH($A43,Months,0),1,1))</f>
        <v>0</v>
      </c>
      <c r="E43" s="61">
        <f t="shared" ca="1" si="2"/>
        <v>0</v>
      </c>
      <c r="F43" s="61">
        <f t="shared" ca="1" si="3"/>
        <v>0</v>
      </c>
      <c r="G43" s="61">
        <f t="shared" ca="1" si="5"/>
        <v>0</v>
      </c>
      <c r="H43" s="62">
        <f ca="1">IF(ROUND(SUM(C43:D43,-G43),0)=0,0,IF($B$6="Yes",SUM($D$9:D43),SUM(C43:D43,-G43)))</f>
        <v>1077873.9907990778</v>
      </c>
      <c r="I43" s="84" t="str">
        <f ca="1">IF(E43&gt;0,MAX(I$9:I42)+1,"-")</f>
        <v>-</v>
      </c>
    </row>
    <row r="44" spans="1:9" ht="15" customHeight="1" x14ac:dyDescent="0.3">
      <c r="A44" s="70">
        <f t="shared" ca="1" si="4"/>
        <v>42673</v>
      </c>
      <c r="B44" s="76">
        <f ca="1">IF(AND(B43&gt;A43,B43&lt;=A44),B43,DATE(YEAR(A44),MONTH(A44),IF(AND(MONTH(A44)=2,Assumptions!$B$35&gt;28),28,Assumptions!$B$35)))</f>
        <v>42648</v>
      </c>
      <c r="C44" s="60">
        <f t="shared" ca="1" si="1"/>
        <v>1077873.9907990778</v>
      </c>
      <c r="D44" s="60">
        <f ca="1">IF(ISNA(MATCH($A44,Months,0))=TRUE,0,OFFSET(Forecast!$B$74,0,MATCH($A44,Months,0),1,1))</f>
        <v>0</v>
      </c>
      <c r="E44" s="61">
        <f t="shared" ca="1" si="2"/>
        <v>0</v>
      </c>
      <c r="F44" s="61">
        <f t="shared" ca="1" si="3"/>
        <v>0</v>
      </c>
      <c r="G44" s="61">
        <f t="shared" ca="1" si="5"/>
        <v>0</v>
      </c>
      <c r="H44" s="62">
        <f ca="1">IF(ROUND(SUM(C44:D44,-G44),0)=0,0,IF($B$6="Yes",SUM($D$9:D44),SUM(C44:D44,-G44)))</f>
        <v>1077873.9907990778</v>
      </c>
      <c r="I44" s="84" t="str">
        <f ca="1">IF(E44&gt;0,MAX(I$9:I43)+1,"-")</f>
        <v>-</v>
      </c>
    </row>
    <row r="45" spans="1:9" ht="15" customHeight="1" x14ac:dyDescent="0.3">
      <c r="A45" s="70">
        <f t="shared" ca="1" si="4"/>
        <v>42680</v>
      </c>
      <c r="B45" s="76">
        <f ca="1">IF(AND(B44&gt;A44,B44&lt;=A45),B44,DATE(YEAR(A45),MONTH(A45),IF(AND(MONTH(A45)=2,Assumptions!$B$35&gt;28),28,Assumptions!$B$35)))</f>
        <v>42679</v>
      </c>
      <c r="C45" s="60">
        <f t="shared" ca="1" si="1"/>
        <v>1077873.9907990778</v>
      </c>
      <c r="D45" s="60">
        <f ca="1">IF(ISNA(MATCH($A45,Months,0))=TRUE,0,OFFSET(Forecast!$B$74,0,MATCH($A45,Months,0),1,1))</f>
        <v>0</v>
      </c>
      <c r="E45" s="61">
        <f t="shared" ca="1" si="2"/>
        <v>25792.680453740952</v>
      </c>
      <c r="F45" s="61">
        <f t="shared" ca="1" si="3"/>
        <v>9431.3974194919301</v>
      </c>
      <c r="G45" s="61">
        <f t="shared" ca="1" si="5"/>
        <v>16361.283034249022</v>
      </c>
      <c r="H45" s="62">
        <f ca="1">IF(ROUND(SUM(C45:D45,-G45),0)=0,0,IF($B$6="Yes",SUM($D$9:D45),SUM(C45:D45,-G45)))</f>
        <v>1061512.7077648288</v>
      </c>
      <c r="I45" s="84">
        <f ca="1">IF(E45&gt;0,MAX(I$9:I44)+1,"-")</f>
        <v>9</v>
      </c>
    </row>
    <row r="46" spans="1:9" ht="15" customHeight="1" x14ac:dyDescent="0.3">
      <c r="A46" s="70">
        <f t="shared" ca="1" si="4"/>
        <v>42687</v>
      </c>
      <c r="B46" s="76">
        <f ca="1">IF(AND(B45&gt;A45,B45&lt;=A46),B45,DATE(YEAR(A46),MONTH(A46),IF(AND(MONTH(A46)=2,Assumptions!$B$35&gt;28),28,Assumptions!$B$35)))</f>
        <v>42679</v>
      </c>
      <c r="C46" s="60">
        <f t="shared" ca="1" si="1"/>
        <v>1061512.7077648288</v>
      </c>
      <c r="D46" s="60">
        <f ca="1">IF(ISNA(MATCH($A46,Months,0))=TRUE,0,OFFSET(Forecast!$B$74,0,MATCH($A46,Months,0),1,1))</f>
        <v>0</v>
      </c>
      <c r="E46" s="61">
        <f t="shared" ca="1" si="2"/>
        <v>0</v>
      </c>
      <c r="F46" s="61">
        <f t="shared" ca="1" si="3"/>
        <v>0</v>
      </c>
      <c r="G46" s="61">
        <f t="shared" ca="1" si="5"/>
        <v>0</v>
      </c>
      <c r="H46" s="62">
        <f ca="1">IF(ROUND(SUM(C46:D46,-G46),0)=0,0,IF($B$6="Yes",SUM($D$9:D46),SUM(C46:D46,-G46)))</f>
        <v>1061512.7077648288</v>
      </c>
      <c r="I46" s="84" t="str">
        <f ca="1">IF(E46&gt;0,MAX(I$9:I45)+1,"-")</f>
        <v>-</v>
      </c>
    </row>
    <row r="47" spans="1:9" ht="15" customHeight="1" x14ac:dyDescent="0.3">
      <c r="A47" s="70">
        <f t="shared" ca="1" si="4"/>
        <v>42694</v>
      </c>
      <c r="B47" s="76">
        <f ca="1">IF(AND(B46&gt;A46,B46&lt;=A47),B46,DATE(YEAR(A47),MONTH(A47),IF(AND(MONTH(A47)=2,Assumptions!$B$35&gt;28),28,Assumptions!$B$35)))</f>
        <v>42679</v>
      </c>
      <c r="C47" s="60">
        <f t="shared" ca="1" si="1"/>
        <v>1061512.7077648288</v>
      </c>
      <c r="D47" s="60">
        <f ca="1">IF(ISNA(MATCH($A47,Months,0))=TRUE,0,OFFSET(Forecast!$B$74,0,MATCH($A47,Months,0),1,1))</f>
        <v>0</v>
      </c>
      <c r="E47" s="61">
        <f t="shared" ca="1" si="2"/>
        <v>0</v>
      </c>
      <c r="F47" s="61">
        <f t="shared" ca="1" si="3"/>
        <v>0</v>
      </c>
      <c r="G47" s="61">
        <f t="shared" ca="1" si="5"/>
        <v>0</v>
      </c>
      <c r="H47" s="62">
        <f ca="1">IF(ROUND(SUM(C47:D47,-G47),0)=0,0,IF($B$6="Yes",SUM($D$9:D47),SUM(C47:D47,-G47)))</f>
        <v>1061512.7077648288</v>
      </c>
      <c r="I47" s="84" t="str">
        <f ca="1">IF(E47&gt;0,MAX(I$9:I46)+1,"-")</f>
        <v>-</v>
      </c>
    </row>
    <row r="48" spans="1:9" ht="15" customHeight="1" x14ac:dyDescent="0.3">
      <c r="A48" s="70">
        <f t="shared" ca="1" si="4"/>
        <v>42701</v>
      </c>
      <c r="B48" s="76">
        <f ca="1">IF(AND(B47&gt;A47,B47&lt;=A48),B47,DATE(YEAR(A48),MONTH(A48),IF(AND(MONTH(A48)=2,Assumptions!$B$35&gt;28),28,Assumptions!$B$35)))</f>
        <v>42679</v>
      </c>
      <c r="C48" s="60">
        <f t="shared" ca="1" si="1"/>
        <v>1061512.7077648288</v>
      </c>
      <c r="D48" s="60">
        <f ca="1">IF(ISNA(MATCH($A48,Months,0))=TRUE,0,OFFSET(Forecast!$B$74,0,MATCH($A48,Months,0),1,1))</f>
        <v>0</v>
      </c>
      <c r="E48" s="61">
        <f t="shared" ca="1" si="2"/>
        <v>0</v>
      </c>
      <c r="F48" s="61">
        <f t="shared" ca="1" si="3"/>
        <v>0</v>
      </c>
      <c r="G48" s="61">
        <f t="shared" ca="1" si="5"/>
        <v>0</v>
      </c>
      <c r="H48" s="62">
        <f ca="1">IF(ROUND(SUM(C48:D48,-G48),0)=0,0,IF($B$6="Yes",SUM($D$9:D48),SUM(C48:D48,-G48)))</f>
        <v>1061512.7077648288</v>
      </c>
      <c r="I48" s="84" t="str">
        <f ca="1">IF(E48&gt;0,MAX(I$9:I47)+1,"-")</f>
        <v>-</v>
      </c>
    </row>
    <row r="49" spans="1:9" ht="15" customHeight="1" x14ac:dyDescent="0.3">
      <c r="A49" s="70">
        <f t="shared" ca="1" si="4"/>
        <v>42708</v>
      </c>
      <c r="B49" s="76">
        <f ca="1">IF(AND(B48&gt;A48,B48&lt;=A49),B48,DATE(YEAR(A49),MONTH(A49),IF(AND(MONTH(A49)=2,Assumptions!$B$35&gt;28),28,Assumptions!$B$35)))</f>
        <v>42709</v>
      </c>
      <c r="C49" s="60">
        <f t="shared" ca="1" si="1"/>
        <v>1061512.7077648288</v>
      </c>
      <c r="D49" s="60">
        <f ca="1">IF(ISNA(MATCH($A49,Months,0))=TRUE,0,OFFSET(Forecast!$B$74,0,MATCH($A49,Months,0),1,1))</f>
        <v>0</v>
      </c>
      <c r="E49" s="61">
        <f t="shared" ca="1" si="2"/>
        <v>0</v>
      </c>
      <c r="F49" s="61">
        <f t="shared" ca="1" si="3"/>
        <v>0</v>
      </c>
      <c r="G49" s="61">
        <f t="shared" ca="1" si="5"/>
        <v>0</v>
      </c>
      <c r="H49" s="62">
        <f ca="1">IF(ROUND(SUM(C49:D49,-G49),0)=0,0,IF($B$6="Yes",SUM($D$9:D49),SUM(C49:D49,-G49)))</f>
        <v>1061512.7077648288</v>
      </c>
      <c r="I49" s="84" t="str">
        <f ca="1">IF(E49&gt;0,MAX(I$9:I48)+1,"-")</f>
        <v>-</v>
      </c>
    </row>
    <row r="50" spans="1:9" ht="15" customHeight="1" x14ac:dyDescent="0.3">
      <c r="A50" s="70">
        <f t="shared" ca="1" si="4"/>
        <v>42715</v>
      </c>
      <c r="B50" s="76">
        <f ca="1">IF(AND(B49&gt;A49,B49&lt;=A50),B49,DATE(YEAR(A50),MONTH(A50),IF(AND(MONTH(A50)=2,Assumptions!$B$35&gt;28),28,Assumptions!$B$35)))</f>
        <v>42709</v>
      </c>
      <c r="C50" s="60">
        <f t="shared" ca="1" si="1"/>
        <v>1061512.7077648288</v>
      </c>
      <c r="D50" s="60">
        <f ca="1">IF(ISNA(MATCH($A50,Months,0))=TRUE,0,OFFSET(Forecast!$B$74,0,MATCH($A50,Months,0),1,1))</f>
        <v>0</v>
      </c>
      <c r="E50" s="61">
        <f t="shared" ca="1" si="2"/>
        <v>25792.680453740952</v>
      </c>
      <c r="F50" s="61">
        <f t="shared" ca="1" si="3"/>
        <v>9288.2361929422514</v>
      </c>
      <c r="G50" s="61">
        <f t="shared" ca="1" si="5"/>
        <v>16504.4442607987</v>
      </c>
      <c r="H50" s="62">
        <f ca="1">IF(ROUND(SUM(C50:D50,-G50),0)=0,0,IF($B$6="Yes",SUM($D$9:D50),SUM(C50:D50,-G50)))</f>
        <v>1045008.2635040301</v>
      </c>
      <c r="I50" s="84">
        <f ca="1">IF(E50&gt;0,MAX(I$9:I49)+1,"-")</f>
        <v>10</v>
      </c>
    </row>
    <row r="51" spans="1:9" ht="15" customHeight="1" x14ac:dyDescent="0.3">
      <c r="A51" s="70">
        <f t="shared" ca="1" si="4"/>
        <v>42722</v>
      </c>
      <c r="B51" s="76">
        <f ca="1">IF(AND(B50&gt;A50,B50&lt;=A51),B50,DATE(YEAR(A51),MONTH(A51),IF(AND(MONTH(A51)=2,Assumptions!$B$35&gt;28),28,Assumptions!$B$35)))</f>
        <v>42709</v>
      </c>
      <c r="C51" s="60">
        <f t="shared" ca="1" si="1"/>
        <v>1045008.2635040301</v>
      </c>
      <c r="D51" s="60">
        <f ca="1">IF(ISNA(MATCH($A51,Months,0))=TRUE,0,OFFSET(Forecast!$B$74,0,MATCH($A51,Months,0),1,1))</f>
        <v>0</v>
      </c>
      <c r="E51" s="61">
        <f t="shared" ca="1" si="2"/>
        <v>0</v>
      </c>
      <c r="F51" s="61">
        <f t="shared" ca="1" si="3"/>
        <v>0</v>
      </c>
      <c r="G51" s="61">
        <f t="shared" ca="1" si="5"/>
        <v>0</v>
      </c>
      <c r="H51" s="62">
        <f ca="1">IF(ROUND(SUM(C51:D51,-G51),0)=0,0,IF($B$6="Yes",SUM($D$9:D51),SUM(C51:D51,-G51)))</f>
        <v>1045008.2635040301</v>
      </c>
      <c r="I51" s="84" t="str">
        <f ca="1">IF(E51&gt;0,MAX(I$9:I50)+1,"-")</f>
        <v>-</v>
      </c>
    </row>
    <row r="52" spans="1:9" ht="15" customHeight="1" x14ac:dyDescent="0.3">
      <c r="A52" s="70">
        <f t="shared" ca="1" si="4"/>
        <v>42729</v>
      </c>
      <c r="B52" s="76">
        <f ca="1">IF(AND(B51&gt;A51,B51&lt;=A52),B51,DATE(YEAR(A52),MONTH(A52),IF(AND(MONTH(A52)=2,Assumptions!$B$35&gt;28),28,Assumptions!$B$35)))</f>
        <v>42709</v>
      </c>
      <c r="C52" s="60">
        <f t="shared" ca="1" si="1"/>
        <v>1045008.2635040301</v>
      </c>
      <c r="D52" s="60">
        <f ca="1">IF(ISNA(MATCH($A52,Months,0))=TRUE,0,OFFSET(Forecast!$B$74,0,MATCH($A52,Months,0),1,1))</f>
        <v>0</v>
      </c>
      <c r="E52" s="61">
        <f t="shared" ca="1" si="2"/>
        <v>0</v>
      </c>
      <c r="F52" s="61">
        <f t="shared" ca="1" si="3"/>
        <v>0</v>
      </c>
      <c r="G52" s="61">
        <f t="shared" ca="1" si="5"/>
        <v>0</v>
      </c>
      <c r="H52" s="62">
        <f ca="1">IF(ROUND(SUM(C52:D52,-G52),0)=0,0,IF($B$6="Yes",SUM($D$9:D52),SUM(C52:D52,-G52)))</f>
        <v>1045008.2635040301</v>
      </c>
      <c r="I52" s="84" t="str">
        <f ca="1">IF(E52&gt;0,MAX(I$9:I51)+1,"-")</f>
        <v>-</v>
      </c>
    </row>
    <row r="53" spans="1:9" ht="15" customHeight="1" x14ac:dyDescent="0.3">
      <c r="A53" s="70">
        <f t="shared" ca="1" si="4"/>
        <v>42736</v>
      </c>
      <c r="B53" s="76">
        <f ca="1">IF(AND(B52&gt;A52,B52&lt;=A53),B52,DATE(YEAR(A53),MONTH(A53),IF(AND(MONTH(A53)=2,Assumptions!$B$35&gt;28),28,Assumptions!$B$35)))</f>
        <v>42740</v>
      </c>
      <c r="C53" s="60">
        <f t="shared" ca="1" si="1"/>
        <v>1045008.2635040301</v>
      </c>
      <c r="D53" s="60">
        <f ca="1">IF(ISNA(MATCH($A53,Months,0))=TRUE,0,OFFSET(Forecast!$B$74,0,MATCH($A53,Months,0),1,1))</f>
        <v>0</v>
      </c>
      <c r="E53" s="61">
        <f t="shared" ca="1" si="2"/>
        <v>0</v>
      </c>
      <c r="F53" s="61">
        <f t="shared" ca="1" si="3"/>
        <v>0</v>
      </c>
      <c r="G53" s="61">
        <f t="shared" ca="1" si="5"/>
        <v>0</v>
      </c>
      <c r="H53" s="62">
        <f ca="1">IF(ROUND(SUM(C53:D53,-G53),0)=0,0,IF($B$6="Yes",SUM($D$9:D53),SUM(C53:D53,-G53)))</f>
        <v>1045008.2635040301</v>
      </c>
      <c r="I53" s="84" t="str">
        <f ca="1">IF(E53&gt;0,MAX(I$9:I52)+1,"-")</f>
        <v>-</v>
      </c>
    </row>
    <row r="54" spans="1:9" ht="15" customHeight="1" x14ac:dyDescent="0.3">
      <c r="A54" s="70">
        <f t="shared" ca="1" si="4"/>
        <v>42743</v>
      </c>
      <c r="B54" s="76">
        <f ca="1">IF(AND(B53&gt;A53,B53&lt;=A54),B53,DATE(YEAR(A54),MONTH(A54),IF(AND(MONTH(A54)=2,Assumptions!$B$35&gt;28),28,Assumptions!$B$35)))</f>
        <v>42740</v>
      </c>
      <c r="C54" s="60">
        <f t="shared" ca="1" si="1"/>
        <v>1045008.2635040301</v>
      </c>
      <c r="D54" s="60">
        <f ca="1">IF(ISNA(MATCH($A54,Months,0))=TRUE,0,OFFSET(Forecast!$B$74,0,MATCH($A54,Months,0),1,1))</f>
        <v>0</v>
      </c>
      <c r="E54" s="61">
        <f t="shared" ca="1" si="2"/>
        <v>25792.680453740952</v>
      </c>
      <c r="F54" s="61">
        <f t="shared" ca="1" si="3"/>
        <v>9143.8223056602637</v>
      </c>
      <c r="G54" s="61">
        <f t="shared" ca="1" si="5"/>
        <v>16648.85814808069</v>
      </c>
      <c r="H54" s="62">
        <f ca="1">IF(ROUND(SUM(C54:D54,-G54),0)=0,0,IF($B$6="Yes",SUM($D$9:D54),SUM(C54:D54,-G54)))</f>
        <v>1028359.4053559494</v>
      </c>
      <c r="I54" s="84">
        <f ca="1">IF(E54&gt;0,MAX(I$9:I53)+1,"-")</f>
        <v>11</v>
      </c>
    </row>
    <row r="55" spans="1:9" ht="15" customHeight="1" x14ac:dyDescent="0.3">
      <c r="A55" s="70">
        <f t="shared" ca="1" si="4"/>
        <v>42750</v>
      </c>
      <c r="B55" s="76">
        <f ca="1">IF(AND(B54&gt;A54,B54&lt;=A55),B54,DATE(YEAR(A55),MONTH(A55),IF(AND(MONTH(A55)=2,Assumptions!$B$35&gt;28),28,Assumptions!$B$35)))</f>
        <v>42740</v>
      </c>
      <c r="C55" s="60">
        <f t="shared" ca="1" si="1"/>
        <v>1028359.4053559494</v>
      </c>
      <c r="D55" s="60">
        <f ca="1">IF(ISNA(MATCH($A55,Months,0))=TRUE,0,OFFSET(Forecast!$B$74,0,MATCH($A55,Months,0),1,1))</f>
        <v>0</v>
      </c>
      <c r="E55" s="61">
        <f t="shared" ca="1" si="2"/>
        <v>0</v>
      </c>
      <c r="F55" s="61">
        <f t="shared" ca="1" si="3"/>
        <v>0</v>
      </c>
      <c r="G55" s="61">
        <f t="shared" ca="1" si="5"/>
        <v>0</v>
      </c>
      <c r="H55" s="62">
        <f ca="1">IF(ROUND(SUM(C55:D55,-G55),0)=0,0,IF($B$6="Yes",SUM($D$9:D55),SUM(C55:D55,-G55)))</f>
        <v>1028359.4053559494</v>
      </c>
      <c r="I55" s="84" t="str">
        <f ca="1">IF(E55&gt;0,MAX(I$9:I54)+1,"-")</f>
        <v>-</v>
      </c>
    </row>
    <row r="56" spans="1:9" ht="15" customHeight="1" x14ac:dyDescent="0.3">
      <c r="A56" s="70">
        <f t="shared" ca="1" si="4"/>
        <v>42757</v>
      </c>
      <c r="B56" s="76">
        <f ca="1">IF(AND(B55&gt;A55,B55&lt;=A56),B55,DATE(YEAR(A56),MONTH(A56),IF(AND(MONTH(A56)=2,Assumptions!$B$35&gt;28),28,Assumptions!$B$35)))</f>
        <v>42740</v>
      </c>
      <c r="C56" s="60">
        <f t="shared" ca="1" si="1"/>
        <v>1028359.4053559494</v>
      </c>
      <c r="D56" s="60">
        <f ca="1">IF(ISNA(MATCH($A56,Months,0))=TRUE,0,OFFSET(Forecast!$B$74,0,MATCH($A56,Months,0),1,1))</f>
        <v>0</v>
      </c>
      <c r="E56" s="61">
        <f t="shared" ca="1" si="2"/>
        <v>0</v>
      </c>
      <c r="F56" s="61">
        <f t="shared" ca="1" si="3"/>
        <v>0</v>
      </c>
      <c r="G56" s="61">
        <f t="shared" ca="1" si="5"/>
        <v>0</v>
      </c>
      <c r="H56" s="62">
        <f ca="1">IF(ROUND(SUM(C56:D56,-G56),0)=0,0,IF($B$6="Yes",SUM($D$9:D56),SUM(C56:D56,-G56)))</f>
        <v>1028359.4053559494</v>
      </c>
      <c r="I56" s="84" t="str">
        <f ca="1">IF(E56&gt;0,MAX(I$9:I55)+1,"-")</f>
        <v>-</v>
      </c>
    </row>
    <row r="57" spans="1:9" ht="15" customHeight="1" x14ac:dyDescent="0.3">
      <c r="A57" s="70">
        <f t="shared" ca="1" si="4"/>
        <v>42764</v>
      </c>
      <c r="B57" s="76">
        <f ca="1">IF(AND(B56&gt;A56,B56&lt;=A57),B56,DATE(YEAR(A57),MONTH(A57),IF(AND(MONTH(A57)=2,Assumptions!$B$35&gt;28),28,Assumptions!$B$35)))</f>
        <v>42740</v>
      </c>
      <c r="C57" s="60">
        <f t="shared" ca="1" si="1"/>
        <v>1028359.4053559494</v>
      </c>
      <c r="D57" s="60">
        <f ca="1">IF(ISNA(MATCH($A57,Months,0))=TRUE,0,OFFSET(Forecast!$B$74,0,MATCH($A57,Months,0),1,1))</f>
        <v>0</v>
      </c>
      <c r="E57" s="61">
        <f t="shared" ca="1" si="2"/>
        <v>0</v>
      </c>
      <c r="F57" s="61">
        <f t="shared" ca="1" si="3"/>
        <v>0</v>
      </c>
      <c r="G57" s="61">
        <f t="shared" ca="1" si="5"/>
        <v>0</v>
      </c>
      <c r="H57" s="62">
        <f ca="1">IF(ROUND(SUM(C57:D57,-G57),0)=0,0,IF($B$6="Yes",SUM($D$9:D57),SUM(C57:D57,-G57)))</f>
        <v>1028359.4053559494</v>
      </c>
      <c r="I57" s="84" t="str">
        <f ca="1">IF(E57&gt;0,MAX(I$9:I56)+1,"-")</f>
        <v>-</v>
      </c>
    </row>
    <row r="58" spans="1:9" ht="15" customHeight="1" x14ac:dyDescent="0.3">
      <c r="A58" s="70">
        <f t="shared" ca="1" si="4"/>
        <v>42771</v>
      </c>
      <c r="B58" s="76">
        <f ca="1">IF(AND(B57&gt;A57,B57&lt;=A58),B57,DATE(YEAR(A58),MONTH(A58),IF(AND(MONTH(A58)=2,Assumptions!$B$35&gt;28),28,Assumptions!$B$35)))</f>
        <v>42771</v>
      </c>
      <c r="C58" s="60">
        <f t="shared" ca="1" si="1"/>
        <v>1028359.4053559494</v>
      </c>
      <c r="D58" s="60">
        <f ca="1">IF(ISNA(MATCH($A58,Months,0))=TRUE,0,OFFSET(Forecast!$B$74,0,MATCH($A58,Months,0),1,1))</f>
        <v>0</v>
      </c>
      <c r="E58" s="61">
        <f t="shared" ca="1" si="2"/>
        <v>25792.680453740952</v>
      </c>
      <c r="F58" s="61">
        <f t="shared" ca="1" si="3"/>
        <v>8998.1447968645571</v>
      </c>
      <c r="G58" s="61">
        <f t="shared" ca="1" si="5"/>
        <v>16794.535656876396</v>
      </c>
      <c r="H58" s="62">
        <f ca="1">IF(ROUND(SUM(C58:D58,-G58),0)=0,0,IF($B$6="Yes",SUM($D$9:D58),SUM(C58:D58,-G58)))</f>
        <v>1011564.869699073</v>
      </c>
      <c r="I58" s="84">
        <f ca="1">IF(E58&gt;0,MAX(I$9:I57)+1,"-")</f>
        <v>12</v>
      </c>
    </row>
    <row r="59" spans="1:9" ht="15" customHeight="1" x14ac:dyDescent="0.3">
      <c r="A59" s="70">
        <f t="shared" ca="1" si="4"/>
        <v>42778</v>
      </c>
      <c r="B59" s="76">
        <f ca="1">IF(AND(B58&gt;A58,B58&lt;=A59),B58,DATE(YEAR(A59),MONTH(A59),IF(AND(MONTH(A59)=2,Assumptions!$B$35&gt;28),28,Assumptions!$B$35)))</f>
        <v>42771</v>
      </c>
      <c r="C59" s="60">
        <f t="shared" ca="1" si="1"/>
        <v>1011564.869699073</v>
      </c>
      <c r="D59" s="60">
        <f ca="1">IF(ISNA(MATCH($A59,Months,0))=TRUE,0,OFFSET(Forecast!$B$74,0,MATCH($A59,Months,0),1,1))</f>
        <v>0</v>
      </c>
      <c r="E59" s="61">
        <f t="shared" ca="1" si="2"/>
        <v>0</v>
      </c>
      <c r="F59" s="61">
        <f t="shared" ca="1" si="3"/>
        <v>0</v>
      </c>
      <c r="G59" s="61">
        <f t="shared" ca="1" si="5"/>
        <v>0</v>
      </c>
      <c r="H59" s="62">
        <f ca="1">IF(ROUND(SUM(C59:D59,-G59),0)=0,0,IF($B$6="Yes",SUM($D$9:D59),SUM(C59:D59,-G59)))</f>
        <v>1011564.869699073</v>
      </c>
      <c r="I59" s="84" t="str">
        <f ca="1">IF(E59&gt;0,MAX(I$9:I58)+1,"-")</f>
        <v>-</v>
      </c>
    </row>
    <row r="60" spans="1:9" ht="15" customHeight="1" x14ac:dyDescent="0.3">
      <c r="A60" s="70">
        <f t="shared" ca="1" si="4"/>
        <v>42785</v>
      </c>
      <c r="B60" s="76">
        <f ca="1">IF(AND(B59&gt;A59,B59&lt;=A60),B59,DATE(YEAR(A60),MONTH(A60),IF(AND(MONTH(A60)=2,Assumptions!$B$35&gt;28),28,Assumptions!$B$35)))</f>
        <v>42771</v>
      </c>
      <c r="C60" s="60">
        <f t="shared" ca="1" si="1"/>
        <v>1011564.869699073</v>
      </c>
      <c r="D60" s="60">
        <f ca="1">IF(ISNA(MATCH($A60,Months,0))=TRUE,0,OFFSET(Forecast!$B$74,0,MATCH($A60,Months,0),1,1))</f>
        <v>0</v>
      </c>
      <c r="E60" s="61">
        <f t="shared" ca="1" si="2"/>
        <v>0</v>
      </c>
      <c r="F60" s="61">
        <f t="shared" ca="1" si="3"/>
        <v>0</v>
      </c>
      <c r="G60" s="61">
        <f t="shared" ca="1" si="5"/>
        <v>0</v>
      </c>
      <c r="H60" s="62">
        <f ca="1">IF(ROUND(SUM(C60:D60,-G60),0)=0,0,IF($B$6="Yes",SUM($D$9:D60),SUM(C60:D60,-G60)))</f>
        <v>1011564.869699073</v>
      </c>
      <c r="I60" s="84" t="str">
        <f ca="1">IF(E60&gt;0,MAX(I$9:I59)+1,"-")</f>
        <v>-</v>
      </c>
    </row>
    <row r="61" spans="1:9" ht="15" customHeight="1" x14ac:dyDescent="0.3">
      <c r="A61" s="70">
        <f t="shared" ca="1" si="4"/>
        <v>42792</v>
      </c>
      <c r="B61" s="76">
        <f ca="1">IF(AND(B60&gt;A60,B60&lt;=A61),B60,DATE(YEAR(A61),MONTH(A61),IF(AND(MONTH(A61)=2,Assumptions!$B$35&gt;28),28,Assumptions!$B$35)))</f>
        <v>42771</v>
      </c>
      <c r="C61" s="60">
        <f t="shared" ca="1" si="1"/>
        <v>1011564.869699073</v>
      </c>
      <c r="D61" s="60">
        <f ca="1">IF(ISNA(MATCH($A61,Months,0))=TRUE,0,OFFSET(Forecast!$B$74,0,MATCH($A61,Months,0),1,1))</f>
        <v>0</v>
      </c>
      <c r="E61" s="61">
        <f t="shared" ca="1" si="2"/>
        <v>0</v>
      </c>
      <c r="F61" s="61">
        <f t="shared" ca="1" si="3"/>
        <v>0</v>
      </c>
      <c r="G61" s="61">
        <f t="shared" ca="1" si="5"/>
        <v>0</v>
      </c>
      <c r="H61" s="62">
        <f ca="1">IF(ROUND(SUM(C61:D61,-G61),0)=0,0,IF($B$6="Yes",SUM($D$9:D61),SUM(C61:D61,-G61)))</f>
        <v>1011564.869699073</v>
      </c>
      <c r="I61" s="84" t="str">
        <f ca="1">IF(E61&gt;0,MAX(I$9:I60)+1,"-")</f>
        <v>-</v>
      </c>
    </row>
    <row r="62" spans="1:9" ht="15" customHeight="1" x14ac:dyDescent="0.3">
      <c r="C62" s="60"/>
      <c r="D62" s="60"/>
      <c r="E62" s="61"/>
      <c r="F62" s="61"/>
      <c r="G62" s="61"/>
      <c r="H62" s="62"/>
    </row>
    <row r="63" spans="1:9" ht="15" customHeight="1" x14ac:dyDescent="0.3">
      <c r="C63" s="60"/>
      <c r="D63" s="60"/>
      <c r="E63" s="61"/>
      <c r="F63" s="61"/>
      <c r="G63" s="61"/>
      <c r="H63" s="62"/>
    </row>
    <row r="64" spans="1:9" ht="15" customHeight="1" x14ac:dyDescent="0.3">
      <c r="C64" s="60"/>
      <c r="D64" s="60"/>
      <c r="E64" s="61"/>
      <c r="F64" s="61"/>
      <c r="G64" s="61"/>
      <c r="H64" s="62"/>
    </row>
    <row r="65" spans="3:8" ht="15" customHeight="1" x14ac:dyDescent="0.3">
      <c r="C65" s="60"/>
      <c r="D65" s="60"/>
      <c r="E65" s="61"/>
      <c r="F65" s="61"/>
      <c r="G65" s="61"/>
      <c r="H65" s="62"/>
    </row>
    <row r="66" spans="3:8" ht="15" customHeight="1" x14ac:dyDescent="0.3">
      <c r="C66" s="60"/>
      <c r="D66" s="60"/>
      <c r="E66" s="61"/>
      <c r="F66" s="61"/>
      <c r="G66" s="61"/>
      <c r="H66" s="62"/>
    </row>
    <row r="67" spans="3:8" ht="15" customHeight="1" x14ac:dyDescent="0.3">
      <c r="C67" s="60"/>
      <c r="D67" s="60"/>
      <c r="E67" s="61"/>
      <c r="F67" s="61"/>
      <c r="G67" s="61"/>
      <c r="H67" s="62"/>
    </row>
    <row r="68" spans="3:8" ht="15" customHeight="1" x14ac:dyDescent="0.3">
      <c r="C68" s="60"/>
      <c r="D68" s="60"/>
      <c r="E68" s="61"/>
      <c r="F68" s="61"/>
      <c r="G68" s="61"/>
      <c r="H68" s="62"/>
    </row>
    <row r="69" spans="3:8" ht="15" customHeight="1" x14ac:dyDescent="0.3">
      <c r="C69" s="60"/>
      <c r="D69" s="60"/>
      <c r="E69" s="61"/>
      <c r="F69" s="61"/>
      <c r="G69" s="61"/>
      <c r="H69" s="62"/>
    </row>
    <row r="70" spans="3:8" ht="15" customHeight="1" x14ac:dyDescent="0.3">
      <c r="C70" s="60"/>
      <c r="D70" s="60"/>
      <c r="E70" s="61"/>
      <c r="F70" s="61"/>
      <c r="G70" s="61"/>
      <c r="H70" s="62"/>
    </row>
    <row r="71" spans="3:8" ht="15" customHeight="1" x14ac:dyDescent="0.3">
      <c r="C71" s="60"/>
      <c r="D71" s="60"/>
      <c r="E71" s="61"/>
      <c r="F71" s="61"/>
      <c r="G71" s="61"/>
      <c r="H71" s="62"/>
    </row>
    <row r="72" spans="3:8" ht="15" customHeight="1" x14ac:dyDescent="0.3">
      <c r="C72" s="60"/>
      <c r="D72" s="60"/>
      <c r="E72" s="61"/>
      <c r="F72" s="61"/>
      <c r="G72" s="61"/>
      <c r="H72" s="62"/>
    </row>
    <row r="73" spans="3:8" ht="15" customHeight="1" x14ac:dyDescent="0.3">
      <c r="C73" s="60"/>
      <c r="D73" s="60"/>
      <c r="E73" s="61"/>
      <c r="F73" s="61"/>
      <c r="G73" s="61"/>
      <c r="H73" s="62"/>
    </row>
    <row r="74" spans="3:8" ht="15" customHeight="1" x14ac:dyDescent="0.3">
      <c r="C74" s="60"/>
      <c r="D74" s="60"/>
      <c r="E74" s="61"/>
      <c r="F74" s="61"/>
      <c r="G74" s="61"/>
      <c r="H74" s="62"/>
    </row>
    <row r="75" spans="3:8" ht="15" customHeight="1" x14ac:dyDescent="0.3">
      <c r="C75" s="60"/>
      <c r="D75" s="60"/>
      <c r="E75" s="61"/>
      <c r="F75" s="61"/>
      <c r="G75" s="61"/>
      <c r="H75" s="62"/>
    </row>
    <row r="76" spans="3:8" ht="15" customHeight="1" x14ac:dyDescent="0.3">
      <c r="C76" s="60"/>
      <c r="D76" s="60"/>
      <c r="E76" s="61"/>
      <c r="F76" s="61"/>
      <c r="G76" s="61"/>
      <c r="H76" s="62"/>
    </row>
    <row r="77" spans="3:8" ht="15" customHeight="1" x14ac:dyDescent="0.3">
      <c r="C77" s="60"/>
      <c r="D77" s="60"/>
      <c r="E77" s="61"/>
      <c r="F77" s="61"/>
      <c r="G77" s="61"/>
      <c r="H77" s="62"/>
    </row>
    <row r="78" spans="3:8" ht="15" customHeight="1" x14ac:dyDescent="0.3">
      <c r="C78" s="60"/>
      <c r="D78" s="60"/>
      <c r="E78" s="61"/>
      <c r="F78" s="61"/>
      <c r="G78" s="61"/>
      <c r="H78" s="62"/>
    </row>
    <row r="79" spans="3:8" ht="15" customHeight="1" x14ac:dyDescent="0.3">
      <c r="C79" s="60"/>
      <c r="D79" s="60"/>
      <c r="E79" s="61"/>
      <c r="F79" s="61"/>
      <c r="G79" s="61"/>
      <c r="H79" s="62"/>
    </row>
    <row r="80" spans="3:8" ht="15" customHeight="1" x14ac:dyDescent="0.3">
      <c r="C80" s="60"/>
      <c r="D80" s="60"/>
      <c r="E80" s="61"/>
      <c r="F80" s="61"/>
      <c r="G80" s="61"/>
      <c r="H80" s="62"/>
    </row>
    <row r="81" spans="3:8" ht="15" customHeight="1" x14ac:dyDescent="0.3">
      <c r="C81" s="60"/>
      <c r="D81" s="60"/>
      <c r="E81" s="61"/>
      <c r="F81" s="61"/>
      <c r="G81" s="61"/>
      <c r="H81" s="62"/>
    </row>
    <row r="82" spans="3:8" ht="15" customHeight="1" x14ac:dyDescent="0.3">
      <c r="C82" s="60"/>
      <c r="D82" s="60"/>
      <c r="E82" s="61"/>
      <c r="F82" s="61"/>
      <c r="G82" s="61"/>
      <c r="H82" s="62"/>
    </row>
    <row r="83" spans="3:8" ht="15" customHeight="1" x14ac:dyDescent="0.3">
      <c r="C83" s="60"/>
      <c r="D83" s="60"/>
      <c r="E83" s="61"/>
      <c r="F83" s="61"/>
      <c r="G83" s="61"/>
      <c r="H83" s="62"/>
    </row>
    <row r="84" spans="3:8" ht="15" customHeight="1" x14ac:dyDescent="0.3">
      <c r="C84" s="60"/>
      <c r="D84" s="60"/>
      <c r="E84" s="61"/>
      <c r="F84" s="61"/>
      <c r="G84" s="61"/>
      <c r="H84" s="62"/>
    </row>
    <row r="85" spans="3:8" ht="15" customHeight="1" x14ac:dyDescent="0.3">
      <c r="C85" s="60"/>
      <c r="D85" s="60"/>
      <c r="E85" s="61"/>
      <c r="F85" s="61"/>
      <c r="G85" s="61"/>
      <c r="H85" s="62"/>
    </row>
    <row r="86" spans="3:8" ht="15" customHeight="1" x14ac:dyDescent="0.3">
      <c r="C86" s="60"/>
      <c r="D86" s="60"/>
      <c r="E86" s="61"/>
      <c r="F86" s="61"/>
      <c r="G86" s="61"/>
      <c r="H86" s="62"/>
    </row>
    <row r="87" spans="3:8" ht="15" customHeight="1" x14ac:dyDescent="0.3">
      <c r="C87" s="60"/>
      <c r="D87" s="60"/>
      <c r="E87" s="61"/>
      <c r="F87" s="61"/>
      <c r="G87" s="61"/>
      <c r="H87" s="62"/>
    </row>
    <row r="88" spans="3:8" ht="15" customHeight="1" x14ac:dyDescent="0.3">
      <c r="C88" s="60"/>
      <c r="D88" s="60"/>
      <c r="E88" s="61"/>
      <c r="F88" s="61"/>
      <c r="G88" s="61"/>
      <c r="H88" s="62"/>
    </row>
    <row r="89" spans="3:8" ht="15" customHeight="1" x14ac:dyDescent="0.3">
      <c r="C89" s="60"/>
      <c r="D89" s="60"/>
      <c r="E89" s="61"/>
      <c r="F89" s="61"/>
      <c r="G89" s="61"/>
      <c r="H89" s="62"/>
    </row>
    <row r="90" spans="3:8" ht="15" customHeight="1" x14ac:dyDescent="0.3">
      <c r="C90" s="60"/>
      <c r="D90" s="60"/>
      <c r="E90" s="61"/>
      <c r="F90" s="61"/>
      <c r="G90" s="61"/>
      <c r="H90" s="62"/>
    </row>
    <row r="91" spans="3:8" ht="15" customHeight="1" x14ac:dyDescent="0.3">
      <c r="C91" s="60"/>
      <c r="D91" s="60"/>
      <c r="E91" s="61"/>
      <c r="F91" s="61"/>
      <c r="G91" s="61"/>
      <c r="H91" s="62"/>
    </row>
    <row r="92" spans="3:8" ht="15" customHeight="1" x14ac:dyDescent="0.3">
      <c r="C92" s="60"/>
      <c r="D92" s="60"/>
      <c r="E92" s="61"/>
      <c r="F92" s="61"/>
      <c r="G92" s="61"/>
      <c r="H92" s="62"/>
    </row>
    <row r="93" spans="3:8" ht="15" customHeight="1" x14ac:dyDescent="0.3">
      <c r="C93" s="60"/>
      <c r="D93" s="60"/>
      <c r="E93" s="61"/>
      <c r="F93" s="61"/>
      <c r="G93" s="61"/>
      <c r="H93" s="62"/>
    </row>
    <row r="94" spans="3:8" ht="15" customHeight="1" x14ac:dyDescent="0.3">
      <c r="C94" s="60"/>
      <c r="D94" s="60"/>
      <c r="E94" s="61"/>
      <c r="F94" s="61"/>
      <c r="G94" s="61"/>
      <c r="H94" s="62"/>
    </row>
    <row r="95" spans="3:8" ht="15" customHeight="1" x14ac:dyDescent="0.3">
      <c r="C95" s="60"/>
      <c r="D95" s="60"/>
      <c r="E95" s="61"/>
      <c r="F95" s="61"/>
      <c r="G95" s="61"/>
      <c r="H95" s="62"/>
    </row>
    <row r="96" spans="3:8" ht="15" customHeight="1" x14ac:dyDescent="0.3">
      <c r="C96" s="60"/>
      <c r="D96" s="60"/>
      <c r="E96" s="61"/>
      <c r="F96" s="61"/>
      <c r="G96" s="61"/>
      <c r="H96" s="62"/>
    </row>
    <row r="97" spans="3:8" ht="15" customHeight="1" x14ac:dyDescent="0.3">
      <c r="C97" s="60"/>
      <c r="D97" s="60"/>
      <c r="E97" s="61"/>
      <c r="F97" s="61"/>
      <c r="G97" s="61"/>
      <c r="H97" s="62"/>
    </row>
    <row r="98" spans="3:8" ht="15" customHeight="1" x14ac:dyDescent="0.3">
      <c r="C98" s="60"/>
      <c r="D98" s="60"/>
      <c r="E98" s="61"/>
      <c r="F98" s="61"/>
      <c r="G98" s="61"/>
      <c r="H98" s="62"/>
    </row>
    <row r="99" spans="3:8" ht="15" customHeight="1" x14ac:dyDescent="0.3">
      <c r="C99" s="60"/>
      <c r="D99" s="60"/>
      <c r="E99" s="61"/>
      <c r="F99" s="61"/>
      <c r="G99" s="61"/>
      <c r="H99" s="62"/>
    </row>
    <row r="100" spans="3:8" ht="15" customHeight="1" x14ac:dyDescent="0.3">
      <c r="C100" s="60"/>
      <c r="D100" s="60"/>
      <c r="E100" s="61"/>
      <c r="F100" s="61"/>
      <c r="G100" s="61"/>
      <c r="H100" s="62"/>
    </row>
    <row r="101" spans="3:8" ht="15" customHeight="1" x14ac:dyDescent="0.3">
      <c r="C101" s="60"/>
      <c r="D101" s="60"/>
      <c r="E101" s="61"/>
      <c r="F101" s="61"/>
      <c r="G101" s="61"/>
      <c r="H101" s="62"/>
    </row>
    <row r="102" spans="3:8" ht="15" customHeight="1" x14ac:dyDescent="0.3">
      <c r="C102" s="60"/>
      <c r="D102" s="60"/>
      <c r="E102" s="61"/>
      <c r="F102" s="61"/>
      <c r="G102" s="61"/>
      <c r="H102" s="62"/>
    </row>
    <row r="103" spans="3:8" ht="15" customHeight="1" x14ac:dyDescent="0.3">
      <c r="C103" s="60"/>
      <c r="D103" s="60"/>
      <c r="E103" s="61"/>
      <c r="F103" s="61"/>
      <c r="G103" s="61"/>
      <c r="H103" s="62"/>
    </row>
    <row r="104" spans="3:8" ht="15" customHeight="1" x14ac:dyDescent="0.3">
      <c r="C104" s="60"/>
      <c r="D104" s="60"/>
      <c r="E104" s="61"/>
      <c r="F104" s="61"/>
      <c r="G104" s="61"/>
      <c r="H104" s="62"/>
    </row>
    <row r="105" spans="3:8" ht="15" customHeight="1" x14ac:dyDescent="0.3">
      <c r="C105" s="60"/>
      <c r="D105" s="60"/>
      <c r="E105" s="61"/>
      <c r="F105" s="61"/>
      <c r="G105" s="61"/>
      <c r="H105" s="62"/>
    </row>
    <row r="106" spans="3:8" ht="15" customHeight="1" x14ac:dyDescent="0.3">
      <c r="C106" s="60"/>
      <c r="D106" s="60"/>
      <c r="E106" s="61"/>
      <c r="F106" s="61"/>
      <c r="G106" s="61"/>
      <c r="H106" s="62"/>
    </row>
    <row r="107" spans="3:8" ht="15" customHeight="1" x14ac:dyDescent="0.3">
      <c r="C107" s="60"/>
      <c r="D107" s="60"/>
      <c r="E107" s="61"/>
      <c r="F107" s="61"/>
      <c r="G107" s="61"/>
      <c r="H107" s="62"/>
    </row>
    <row r="108" spans="3:8" ht="15" customHeight="1" x14ac:dyDescent="0.3">
      <c r="C108" s="60"/>
      <c r="D108" s="60"/>
      <c r="E108" s="61"/>
      <c r="F108" s="61"/>
      <c r="G108" s="61"/>
      <c r="H108" s="62"/>
    </row>
    <row r="109" spans="3:8" ht="15" customHeight="1" x14ac:dyDescent="0.3">
      <c r="C109" s="60"/>
      <c r="D109" s="60"/>
      <c r="E109" s="61"/>
      <c r="F109" s="61"/>
      <c r="G109" s="61"/>
      <c r="H109" s="62"/>
    </row>
    <row r="110" spans="3:8" ht="15" customHeight="1" x14ac:dyDescent="0.3">
      <c r="C110" s="60"/>
      <c r="D110" s="60"/>
      <c r="E110" s="61"/>
      <c r="F110" s="61"/>
      <c r="G110" s="61"/>
      <c r="H110" s="62"/>
    </row>
    <row r="111" spans="3:8" ht="15" customHeight="1" x14ac:dyDescent="0.3">
      <c r="C111" s="60"/>
      <c r="D111" s="60"/>
      <c r="E111" s="61"/>
      <c r="F111" s="61"/>
      <c r="G111" s="61"/>
      <c r="H111" s="62"/>
    </row>
    <row r="112" spans="3:8" ht="15" customHeight="1" x14ac:dyDescent="0.3">
      <c r="C112" s="60"/>
      <c r="D112" s="60"/>
      <c r="E112" s="61"/>
      <c r="F112" s="61"/>
      <c r="G112" s="61"/>
      <c r="H112" s="62"/>
    </row>
    <row r="113" spans="3:8" ht="15" customHeight="1" x14ac:dyDescent="0.3">
      <c r="C113" s="60"/>
      <c r="D113" s="60"/>
      <c r="E113" s="61"/>
      <c r="F113" s="61"/>
      <c r="G113" s="61"/>
      <c r="H113" s="62"/>
    </row>
    <row r="114" spans="3:8" ht="15" customHeight="1" x14ac:dyDescent="0.3">
      <c r="C114" s="60"/>
      <c r="D114" s="60"/>
      <c r="E114" s="61"/>
      <c r="F114" s="61"/>
      <c r="G114" s="61"/>
      <c r="H114" s="62"/>
    </row>
    <row r="115" spans="3:8" ht="15" customHeight="1" x14ac:dyDescent="0.3">
      <c r="C115" s="60"/>
      <c r="D115" s="60"/>
      <c r="E115" s="61"/>
      <c r="F115" s="61"/>
      <c r="G115" s="61"/>
      <c r="H115" s="62"/>
    </row>
    <row r="116" spans="3:8" ht="15" customHeight="1" x14ac:dyDescent="0.3">
      <c r="C116" s="60"/>
      <c r="D116" s="60"/>
      <c r="E116" s="61"/>
      <c r="F116" s="61"/>
      <c r="G116" s="61"/>
      <c r="H116" s="62"/>
    </row>
    <row r="117" spans="3:8" ht="15" customHeight="1" x14ac:dyDescent="0.3">
      <c r="C117" s="60"/>
      <c r="D117" s="60"/>
      <c r="E117" s="61"/>
      <c r="F117" s="61"/>
      <c r="G117" s="61"/>
      <c r="H117" s="62"/>
    </row>
    <row r="118" spans="3:8" ht="15" customHeight="1" x14ac:dyDescent="0.3">
      <c r="C118" s="60"/>
      <c r="D118" s="60"/>
      <c r="E118" s="61"/>
      <c r="F118" s="61"/>
      <c r="G118" s="61"/>
      <c r="H118" s="62"/>
    </row>
    <row r="119" spans="3:8" ht="15" customHeight="1" x14ac:dyDescent="0.3">
      <c r="C119" s="60"/>
      <c r="D119" s="60"/>
      <c r="E119" s="61"/>
      <c r="F119" s="61"/>
      <c r="G119" s="61"/>
      <c r="H119" s="62"/>
    </row>
    <row r="120" spans="3:8" ht="15" customHeight="1" x14ac:dyDescent="0.3">
      <c r="C120" s="60"/>
      <c r="D120" s="60"/>
      <c r="E120" s="61"/>
      <c r="F120" s="61"/>
      <c r="G120" s="61"/>
      <c r="H120" s="62"/>
    </row>
    <row r="121" spans="3:8" ht="15" customHeight="1" x14ac:dyDescent="0.3">
      <c r="C121" s="60"/>
      <c r="D121" s="60"/>
      <c r="E121" s="61"/>
      <c r="F121" s="61"/>
      <c r="G121" s="61"/>
      <c r="H121" s="62"/>
    </row>
    <row r="122" spans="3:8" ht="15" customHeight="1" x14ac:dyDescent="0.3">
      <c r="C122" s="60"/>
      <c r="D122" s="60"/>
      <c r="E122" s="61"/>
      <c r="F122" s="61"/>
      <c r="G122" s="61"/>
      <c r="H122" s="62"/>
    </row>
    <row r="123" spans="3:8" ht="15" customHeight="1" x14ac:dyDescent="0.3">
      <c r="C123" s="60"/>
      <c r="D123" s="60"/>
      <c r="E123" s="61"/>
      <c r="F123" s="61"/>
      <c r="G123" s="61"/>
      <c r="H123" s="62"/>
    </row>
    <row r="124" spans="3:8" ht="15" customHeight="1" x14ac:dyDescent="0.3">
      <c r="C124" s="60"/>
      <c r="D124" s="60"/>
      <c r="E124" s="61"/>
      <c r="F124" s="61"/>
      <c r="G124" s="61"/>
      <c r="H124" s="62"/>
    </row>
    <row r="125" spans="3:8" ht="15" customHeight="1" x14ac:dyDescent="0.3">
      <c r="C125" s="60"/>
      <c r="D125" s="60"/>
      <c r="E125" s="61"/>
      <c r="F125" s="61"/>
      <c r="G125" s="61"/>
      <c r="H125" s="62"/>
    </row>
    <row r="126" spans="3:8" ht="15" customHeight="1" x14ac:dyDescent="0.3">
      <c r="C126" s="60"/>
      <c r="D126" s="60"/>
      <c r="E126" s="61"/>
      <c r="F126" s="61"/>
      <c r="G126" s="61"/>
      <c r="H126" s="62"/>
    </row>
    <row r="127" spans="3:8" ht="15" customHeight="1" x14ac:dyDescent="0.3">
      <c r="C127" s="60"/>
      <c r="D127" s="60"/>
      <c r="E127" s="61"/>
      <c r="F127" s="61"/>
      <c r="G127" s="61"/>
      <c r="H127" s="62"/>
    </row>
    <row r="128" spans="3:8" ht="15" customHeight="1" x14ac:dyDescent="0.3">
      <c r="C128" s="60"/>
      <c r="D128" s="60"/>
      <c r="E128" s="61"/>
      <c r="F128" s="61"/>
      <c r="G128" s="61"/>
      <c r="H128" s="62"/>
    </row>
    <row r="129" spans="3:8" ht="15" customHeight="1" x14ac:dyDescent="0.3">
      <c r="C129" s="60"/>
      <c r="D129" s="60"/>
      <c r="E129" s="61"/>
      <c r="F129" s="61"/>
      <c r="G129" s="61"/>
      <c r="H129" s="62"/>
    </row>
    <row r="130" spans="3:8" ht="15" customHeight="1" x14ac:dyDescent="0.3">
      <c r="C130" s="60"/>
      <c r="D130" s="60"/>
      <c r="E130" s="61"/>
      <c r="F130" s="61"/>
      <c r="G130" s="61"/>
      <c r="H130" s="62"/>
    </row>
    <row r="131" spans="3:8" ht="15" customHeight="1" x14ac:dyDescent="0.3">
      <c r="C131" s="60"/>
      <c r="D131" s="60"/>
      <c r="E131" s="61"/>
      <c r="F131" s="61"/>
      <c r="G131" s="61"/>
      <c r="H131" s="62"/>
    </row>
    <row r="132" spans="3:8" ht="15" customHeight="1" x14ac:dyDescent="0.3">
      <c r="C132" s="60"/>
      <c r="D132" s="60"/>
      <c r="E132" s="61"/>
      <c r="F132" s="61"/>
      <c r="G132" s="61"/>
      <c r="H132" s="62"/>
    </row>
    <row r="133" spans="3:8" ht="15" customHeight="1" x14ac:dyDescent="0.3">
      <c r="C133" s="60"/>
      <c r="D133" s="60"/>
      <c r="E133" s="61"/>
      <c r="F133" s="61"/>
      <c r="G133" s="61"/>
      <c r="H133" s="62"/>
    </row>
    <row r="134" spans="3:8" ht="15" customHeight="1" x14ac:dyDescent="0.3">
      <c r="C134" s="60"/>
      <c r="D134" s="60"/>
      <c r="E134" s="61"/>
      <c r="F134" s="61"/>
      <c r="G134" s="61"/>
      <c r="H134" s="62"/>
    </row>
    <row r="135" spans="3:8" ht="15" customHeight="1" x14ac:dyDescent="0.3">
      <c r="C135" s="60"/>
      <c r="D135" s="60"/>
      <c r="E135" s="61"/>
      <c r="F135" s="61"/>
      <c r="G135" s="61"/>
      <c r="H135" s="62"/>
    </row>
    <row r="136" spans="3:8" ht="15" customHeight="1" x14ac:dyDescent="0.3">
      <c r="C136" s="60"/>
      <c r="D136" s="60"/>
      <c r="E136" s="61"/>
      <c r="F136" s="61"/>
      <c r="G136" s="61"/>
      <c r="H136" s="62"/>
    </row>
    <row r="137" spans="3:8" ht="15" customHeight="1" x14ac:dyDescent="0.3">
      <c r="C137" s="60"/>
      <c r="D137" s="60"/>
      <c r="E137" s="61"/>
      <c r="F137" s="61"/>
      <c r="G137" s="61"/>
      <c r="H137" s="62"/>
    </row>
    <row r="138" spans="3:8" ht="15" customHeight="1" x14ac:dyDescent="0.3">
      <c r="C138" s="60"/>
      <c r="D138" s="60"/>
      <c r="E138" s="61"/>
      <c r="F138" s="61"/>
      <c r="G138" s="61"/>
      <c r="H138" s="62"/>
    </row>
    <row r="139" spans="3:8" ht="15" customHeight="1" x14ac:dyDescent="0.3">
      <c r="C139" s="60"/>
      <c r="D139" s="60"/>
      <c r="E139" s="61"/>
      <c r="F139" s="61"/>
      <c r="G139" s="61"/>
      <c r="H139" s="62"/>
    </row>
    <row r="140" spans="3:8" ht="15" customHeight="1" x14ac:dyDescent="0.3">
      <c r="C140" s="60"/>
      <c r="D140" s="60"/>
      <c r="E140" s="61"/>
      <c r="F140" s="61"/>
      <c r="G140" s="61"/>
      <c r="H140" s="62"/>
    </row>
    <row r="141" spans="3:8" ht="15" customHeight="1" x14ac:dyDescent="0.3">
      <c r="C141" s="60"/>
      <c r="D141" s="60"/>
      <c r="E141" s="61"/>
      <c r="F141" s="61"/>
      <c r="G141" s="61"/>
      <c r="H141" s="62"/>
    </row>
    <row r="142" spans="3:8" ht="15" customHeight="1" x14ac:dyDescent="0.3">
      <c r="C142" s="60"/>
      <c r="D142" s="60"/>
      <c r="E142" s="61"/>
      <c r="F142" s="61"/>
      <c r="G142" s="61"/>
      <c r="H142" s="62"/>
    </row>
    <row r="143" spans="3:8" ht="15" customHeight="1" x14ac:dyDescent="0.3">
      <c r="C143" s="60"/>
      <c r="D143" s="60"/>
      <c r="E143" s="61"/>
      <c r="F143" s="61"/>
      <c r="G143" s="61"/>
      <c r="H143" s="62"/>
    </row>
    <row r="144" spans="3:8" ht="15" customHeight="1" x14ac:dyDescent="0.3">
      <c r="C144" s="60"/>
      <c r="D144" s="60"/>
      <c r="E144" s="61"/>
      <c r="F144" s="61"/>
      <c r="G144" s="61"/>
      <c r="H144" s="62"/>
    </row>
    <row r="145" spans="3:8" ht="15" customHeight="1" x14ac:dyDescent="0.3">
      <c r="C145" s="60"/>
      <c r="D145" s="60"/>
      <c r="E145" s="61"/>
      <c r="F145" s="61"/>
      <c r="G145" s="61"/>
      <c r="H145" s="62"/>
    </row>
    <row r="146" spans="3:8" ht="15" customHeight="1" x14ac:dyDescent="0.3">
      <c r="C146" s="60"/>
      <c r="D146" s="60"/>
      <c r="E146" s="61"/>
      <c r="F146" s="61"/>
      <c r="G146" s="61"/>
      <c r="H146" s="62"/>
    </row>
    <row r="147" spans="3:8" ht="15" customHeight="1" x14ac:dyDescent="0.3">
      <c r="C147" s="60"/>
      <c r="D147" s="60"/>
      <c r="E147" s="61"/>
      <c r="F147" s="61"/>
      <c r="G147" s="61"/>
      <c r="H147" s="62"/>
    </row>
    <row r="148" spans="3:8" ht="15" customHeight="1" x14ac:dyDescent="0.3">
      <c r="C148" s="60"/>
      <c r="D148" s="60"/>
      <c r="E148" s="61"/>
      <c r="F148" s="61"/>
      <c r="G148" s="61"/>
      <c r="H148" s="62"/>
    </row>
    <row r="149" spans="3:8" ht="15" customHeight="1" x14ac:dyDescent="0.3">
      <c r="C149" s="60"/>
      <c r="D149" s="60"/>
      <c r="E149" s="61"/>
      <c r="F149" s="61"/>
      <c r="G149" s="61"/>
      <c r="H149" s="62"/>
    </row>
    <row r="150" spans="3:8" ht="15" customHeight="1" x14ac:dyDescent="0.3">
      <c r="C150" s="60"/>
      <c r="D150" s="60"/>
      <c r="E150" s="61"/>
      <c r="F150" s="61"/>
      <c r="G150" s="61"/>
      <c r="H150" s="62"/>
    </row>
    <row r="151" spans="3:8" ht="15" customHeight="1" x14ac:dyDescent="0.3">
      <c r="C151" s="60"/>
      <c r="D151" s="60"/>
      <c r="E151" s="61"/>
      <c r="F151" s="61"/>
      <c r="G151" s="61"/>
      <c r="H151" s="62"/>
    </row>
    <row r="152" spans="3:8" ht="15" customHeight="1" x14ac:dyDescent="0.3">
      <c r="C152" s="60"/>
      <c r="D152" s="60"/>
      <c r="E152" s="61"/>
      <c r="F152" s="61"/>
      <c r="G152" s="61"/>
      <c r="H152" s="62"/>
    </row>
    <row r="153" spans="3:8" ht="15" customHeight="1" x14ac:dyDescent="0.3">
      <c r="C153" s="60"/>
      <c r="D153" s="60"/>
      <c r="E153" s="61"/>
      <c r="F153" s="61"/>
      <c r="G153" s="61"/>
      <c r="H153" s="62"/>
    </row>
    <row r="154" spans="3:8" ht="15" customHeight="1" x14ac:dyDescent="0.3">
      <c r="C154" s="60"/>
      <c r="D154" s="60"/>
      <c r="E154" s="61"/>
      <c r="F154" s="61"/>
      <c r="G154" s="61"/>
      <c r="H154" s="62"/>
    </row>
    <row r="155" spans="3:8" ht="15" customHeight="1" x14ac:dyDescent="0.3">
      <c r="C155" s="60"/>
      <c r="D155" s="60"/>
      <c r="E155" s="61"/>
      <c r="F155" s="61"/>
      <c r="G155" s="61"/>
      <c r="H155" s="62"/>
    </row>
    <row r="156" spans="3:8" ht="15" customHeight="1" x14ac:dyDescent="0.3">
      <c r="C156" s="60"/>
      <c r="D156" s="60"/>
      <c r="E156" s="61"/>
      <c r="F156" s="61"/>
      <c r="G156" s="61"/>
      <c r="H156" s="62"/>
    </row>
    <row r="157" spans="3:8" ht="15" customHeight="1" x14ac:dyDescent="0.3">
      <c r="C157" s="60"/>
      <c r="D157" s="60"/>
      <c r="E157" s="61"/>
      <c r="F157" s="61"/>
      <c r="G157" s="61"/>
      <c r="H157" s="62"/>
    </row>
    <row r="158" spans="3:8" ht="15" customHeight="1" x14ac:dyDescent="0.3">
      <c r="C158" s="60"/>
      <c r="D158" s="60"/>
      <c r="E158" s="61"/>
      <c r="F158" s="61"/>
      <c r="G158" s="61"/>
      <c r="H158" s="62"/>
    </row>
    <row r="159" spans="3:8" ht="15" customHeight="1" x14ac:dyDescent="0.3">
      <c r="C159" s="60"/>
      <c r="D159" s="60"/>
      <c r="E159" s="61"/>
      <c r="F159" s="61"/>
      <c r="G159" s="61"/>
      <c r="H159" s="62"/>
    </row>
    <row r="160" spans="3:8" ht="15" customHeight="1" x14ac:dyDescent="0.3">
      <c r="C160" s="60"/>
      <c r="D160" s="60"/>
      <c r="E160" s="61"/>
      <c r="F160" s="61"/>
      <c r="G160" s="61"/>
      <c r="H160" s="62"/>
    </row>
    <row r="161" spans="3:8" ht="15" customHeight="1" x14ac:dyDescent="0.3">
      <c r="C161" s="60"/>
      <c r="D161" s="60"/>
      <c r="E161" s="61"/>
      <c r="F161" s="61"/>
      <c r="G161" s="61"/>
      <c r="H161" s="62"/>
    </row>
    <row r="162" spans="3:8" ht="15" customHeight="1" x14ac:dyDescent="0.3">
      <c r="C162" s="60"/>
      <c r="D162" s="60"/>
      <c r="E162" s="61"/>
      <c r="F162" s="61"/>
      <c r="G162" s="61"/>
      <c r="H162" s="62"/>
    </row>
    <row r="163" spans="3:8" ht="15" customHeight="1" x14ac:dyDescent="0.3">
      <c r="C163" s="60"/>
      <c r="D163" s="60"/>
      <c r="E163" s="61"/>
      <c r="F163" s="61"/>
      <c r="G163" s="61"/>
      <c r="H163" s="62"/>
    </row>
    <row r="164" spans="3:8" ht="15" customHeight="1" x14ac:dyDescent="0.3">
      <c r="C164" s="60"/>
      <c r="D164" s="60"/>
      <c r="E164" s="61"/>
      <c r="F164" s="61"/>
      <c r="G164" s="61"/>
      <c r="H164" s="62"/>
    </row>
    <row r="165" spans="3:8" ht="15" customHeight="1" x14ac:dyDescent="0.3">
      <c r="C165" s="60"/>
      <c r="D165" s="60"/>
      <c r="E165" s="61"/>
      <c r="F165" s="61"/>
      <c r="G165" s="61"/>
      <c r="H165" s="62"/>
    </row>
  </sheetData>
  <phoneticPr fontId="3" type="noConversion"/>
  <printOptions horizontalCentered="1"/>
  <pageMargins left="0.55118110236220474" right="0.55118110236220474" top="0.59055118110236227" bottom="0.59055118110236227" header="0.39370078740157483" footer="0.39370078740157483"/>
  <pageSetup paperSize="9" scale="73" fitToHeight="0" orientation="portrait" r:id="rId1"/>
  <headerFooter alignWithMargins="0">
    <oddFooter>&amp;C&amp;9Page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2"/>
  <sheetViews>
    <sheetView zoomScale="95" zoomScaleNormal="95" workbookViewId="0">
      <pane xSplit="2" ySplit="4" topLeftCell="C80" activePane="bottomRight" state="frozen"/>
      <selection pane="topRight" activeCell="C1" sqref="C1"/>
      <selection pane="bottomLeft" activeCell="A5" sqref="A5"/>
      <selection pane="bottomRight" activeCell="M1" sqref="M1"/>
    </sheetView>
  </sheetViews>
  <sheetFormatPr defaultColWidth="9.1328125" defaultRowHeight="15" customHeight="1" x14ac:dyDescent="0.3"/>
  <cols>
    <col min="1" max="1" width="38.73046875" style="129" customWidth="1"/>
    <col min="2" max="2" width="5.73046875" style="130" customWidth="1"/>
    <col min="3" max="5" width="12.73046875" style="109" customWidth="1"/>
    <col min="6" max="6" width="12.73046875" style="110" customWidth="1"/>
    <col min="7" max="8" width="12.73046875" style="106" customWidth="1"/>
    <col min="9" max="9" width="12.73046875" style="109" customWidth="1"/>
    <col min="10" max="10" width="12.73046875" style="110" customWidth="1"/>
    <col min="11" max="13" width="12.73046875" style="106" customWidth="1"/>
    <col min="14" max="14" width="12.73046875" style="110" customWidth="1"/>
    <col min="15" max="16384" width="9.1328125" style="106"/>
  </cols>
  <sheetData>
    <row r="1" spans="1:14" x14ac:dyDescent="0.4">
      <c r="A1" s="103" t="str">
        <f>Assumptions!$B$4</f>
        <v>Example Trading Limited</v>
      </c>
      <c r="B1" s="104"/>
      <c r="C1" s="202"/>
      <c r="D1" s="202"/>
      <c r="E1" s="202"/>
      <c r="F1" s="202"/>
      <c r="G1" s="202"/>
      <c r="H1" s="203"/>
      <c r="I1" s="202"/>
      <c r="J1" s="202"/>
      <c r="K1" s="202"/>
      <c r="L1" s="203" t="s">
        <v>128</v>
      </c>
      <c r="M1" s="201">
        <v>42610</v>
      </c>
      <c r="N1" s="105" t="str">
        <f ca="1">IF(ISNA(MATCH(Report!$M$1,Months,0))=TRUE,"Select period!","")</f>
        <v/>
      </c>
    </row>
    <row r="2" spans="1:14" ht="15" customHeight="1" x14ac:dyDescent="0.35">
      <c r="A2" s="107" t="s">
        <v>116</v>
      </c>
      <c r="B2" s="108"/>
      <c r="H2" s="204"/>
      <c r="I2" s="205">
        <f ca="1">IF(ISNA(MATCH($M$2,Assumptions!$C$7:$C$10,1))=TRUE,"?",OFFSET(Assumptions!$D$6,MATCH($M$2,Assumptions!$C$7:$C$10,1),0,1,1))</f>
        <v>13</v>
      </c>
      <c r="J2" s="205">
        <f ca="1">IF(ISNA(MATCH($M$2,Assumptions!$C$7:$C$10,1))=TRUE,"?",MATCH($M$2,Assumptions!$C$7:$C$10,1))</f>
        <v>2</v>
      </c>
      <c r="L2" s="204" t="s">
        <v>129</v>
      </c>
      <c r="M2" s="111">
        <f ca="1">IF(ISNA(MATCH(Report!$M$1,Months,0))=TRUE,0,MATCH($M$1,Months,0))</f>
        <v>26</v>
      </c>
      <c r="N2" s="112" t="str">
        <f ca="1">IF(ISNA($C$5)=TRUE,"Change Period!","")</f>
        <v/>
      </c>
    </row>
    <row r="3" spans="1:14" s="115" customFormat="1" ht="18" customHeight="1" x14ac:dyDescent="0.35">
      <c r="A3" s="113" t="s">
        <v>60</v>
      </c>
      <c r="B3" s="114"/>
      <c r="C3" s="215" t="str">
        <f ca="1">"Week "&amp;$M$2</f>
        <v>Week 26</v>
      </c>
      <c r="D3" s="216"/>
      <c r="E3" s="216"/>
      <c r="F3" s="217"/>
      <c r="G3" s="215" t="str">
        <f ca="1">"Quarter "&amp;$J$2</f>
        <v>Quarter 2</v>
      </c>
      <c r="H3" s="216"/>
      <c r="I3" s="216"/>
      <c r="J3" s="217"/>
      <c r="K3" s="218" t="s">
        <v>117</v>
      </c>
      <c r="L3" s="219"/>
      <c r="M3" s="219"/>
      <c r="N3" s="220"/>
    </row>
    <row r="4" spans="1:14" s="121" customFormat="1" ht="18" customHeight="1" x14ac:dyDescent="0.35">
      <c r="A4" s="213" t="s">
        <v>118</v>
      </c>
      <c r="B4" s="214"/>
      <c r="C4" s="116" t="s">
        <v>119</v>
      </c>
      <c r="D4" s="117" t="s">
        <v>120</v>
      </c>
      <c r="E4" s="117" t="s">
        <v>121</v>
      </c>
      <c r="F4" s="118" t="s">
        <v>122</v>
      </c>
      <c r="G4" s="119" t="s">
        <v>119</v>
      </c>
      <c r="H4" s="120" t="s">
        <v>120</v>
      </c>
      <c r="I4" s="117" t="s">
        <v>121</v>
      </c>
      <c r="J4" s="118" t="s">
        <v>122</v>
      </c>
      <c r="K4" s="119" t="s">
        <v>119</v>
      </c>
      <c r="L4" s="120" t="s">
        <v>120</v>
      </c>
      <c r="M4" s="117" t="s">
        <v>121</v>
      </c>
      <c r="N4" s="118" t="s">
        <v>122</v>
      </c>
    </row>
    <row r="5" spans="1:14" s="128" customFormat="1" ht="15" customHeight="1" x14ac:dyDescent="0.35">
      <c r="A5" s="122" t="s">
        <v>1</v>
      </c>
      <c r="B5" s="123"/>
      <c r="C5" s="124">
        <f ca="1">IF(ISNA(MATCH(Report!$M$1,Months,0))=TRUE,0,OFFSET(Forecast!$B$5,0,MATCH(Report!$M$1,Months,0),1,1))</f>
        <v>88250</v>
      </c>
      <c r="D5" s="125">
        <f ca="1">IF(ISNA(MATCH(Report!$M$1,Months,0))=TRUE,0,OFFSET(Actual!$B$5,0,MATCH(Report!$M$1,Months,0),1,1))</f>
        <v>93000</v>
      </c>
      <c r="E5" s="126">
        <f ca="1">D5-C5</f>
        <v>4750</v>
      </c>
      <c r="F5" s="127">
        <f ca="1">IF(C5=0,IF(E5=0,0,-1),E5/ABS(C5))</f>
        <v>5.3824362606232294E-2</v>
      </c>
      <c r="G5" s="124">
        <f ca="1">IF(ISNA(MATCH(Report!$M$1,Months,0))=TRUE,0,SUM(OFFSET(Forecast!$B$5,0,MATCH(Report!$M$1,Months,0),1,-$M$2+$I$2)))</f>
        <v>1106000</v>
      </c>
      <c r="H5" s="125">
        <f ca="1">IF(ISNA(MATCH(Report!$M$1,Months,0))=TRUE,0,SUM(OFFSET(Actual!$B$5,0,MATCH(Report!$M$1,Months,0),1,-$M$2+$I$2)))</f>
        <v>1130650</v>
      </c>
      <c r="I5" s="126">
        <f ca="1">H5-G5</f>
        <v>24650</v>
      </c>
      <c r="J5" s="127">
        <f ca="1">IF(G5=0,IF(I5=0,0,-1),I5/ABS(G5))</f>
        <v>2.2287522603978299E-2</v>
      </c>
      <c r="K5" s="124">
        <f ca="1">IF(ISNA(MATCH(Report!$M$1,Months,0))=TRUE,0,SUM(OFFSET(Forecast!$B$5,0,MATCH(Report!$M$1,Months,0),1,-$M$2)))</f>
        <v>2107800</v>
      </c>
      <c r="L5" s="125">
        <f ca="1">IF(ISNA(MATCH(Report!$M$1,Months,0))=TRUE,0,SUM(OFFSET(Actual!$B$5,0,MATCH(Report!$M$1,Months,0),1,-$M$2)))</f>
        <v>2148400</v>
      </c>
      <c r="M5" s="126">
        <f ca="1">L5-K5</f>
        <v>40600</v>
      </c>
      <c r="N5" s="127">
        <f ca="1">IF(K5=0,IF(M5=0,0,-1),M5/ABS(K5))</f>
        <v>1.9261789543599962E-2</v>
      </c>
    </row>
    <row r="6" spans="1:14" ht="15" customHeight="1" x14ac:dyDescent="0.3">
      <c r="C6" s="131"/>
      <c r="D6" s="132"/>
      <c r="F6" s="133"/>
      <c r="G6" s="131"/>
      <c r="H6" s="132"/>
      <c r="J6" s="133"/>
      <c r="K6" s="131"/>
      <c r="L6" s="132"/>
      <c r="M6" s="109"/>
      <c r="N6" s="133"/>
    </row>
    <row r="7" spans="1:14" s="128" customFormat="1" ht="15" customHeight="1" x14ac:dyDescent="0.35">
      <c r="A7" s="122" t="s">
        <v>2</v>
      </c>
      <c r="B7" s="123"/>
      <c r="C7" s="134">
        <f ca="1">IF(ISNA(MATCH(Report!$M$1,Months,0))=TRUE,0,OFFSET(Forecast!$B$7,0,MATCH(Report!$M$1,Months,0),1,1))</f>
        <v>53832.5</v>
      </c>
      <c r="D7" s="135">
        <f ca="1">IF(ISNA(MATCH(Report!$M$1,Months,0))=TRUE,0,OFFSET(Actual!$B$7,0,MATCH(Report!$M$1,Months,0),1,1))</f>
        <v>56358</v>
      </c>
      <c r="E7" s="126">
        <f ca="1">C7-D7</f>
        <v>-2525.5</v>
      </c>
      <c r="F7" s="136">
        <f ca="1">IF(C7=0,IF(E7=0,0,-1),E7/ABS(C7))</f>
        <v>-4.6914038917011097E-2</v>
      </c>
      <c r="G7" s="134">
        <f ca="1">IF(ISNA(MATCH(Report!$M$1,Months,0))=TRUE,0,SUM(OFFSET(Forecast!$B$7,0,MATCH(Report!$M$1,Months,0),1,-$M$2+$I$2)))</f>
        <v>689935</v>
      </c>
      <c r="H7" s="135">
        <f ca="1">IF(ISNA(MATCH(Report!$M$1,Months,0))=TRUE,0,SUM(OFFSET(Actual!$B$7,0,MATCH(Report!$M$1,Months,0),1,-$M$2+$I$2)))</f>
        <v>703065.2699999999</v>
      </c>
      <c r="I7" s="126">
        <f ca="1">G7-H7</f>
        <v>-13130.269999999902</v>
      </c>
      <c r="J7" s="136">
        <f ca="1">IF(G7=0,IF(I7=0,0,-1),I7/ABS(G7))</f>
        <v>-1.9031169602933468E-2</v>
      </c>
      <c r="K7" s="134">
        <f ca="1">IF(ISNA(MATCH(Report!$M$1,Months,0))=TRUE,0,SUM(OFFSET(Forecast!$B$7,0,MATCH(Report!$M$1,Months,0),1,-$M$2)))</f>
        <v>1327254.5</v>
      </c>
      <c r="L7" s="135">
        <f ca="1">IF(ISNA(MATCH(Report!$M$1,Months,0))=TRUE,0,SUM(OFFSET(Actual!$B$7,0,MATCH(Report!$M$1,Months,0),1,-$M$2)))</f>
        <v>1348023.27</v>
      </c>
      <c r="M7" s="126">
        <f ca="1">K7-L7</f>
        <v>-20768.770000000019</v>
      </c>
      <c r="N7" s="136">
        <f ca="1">IF(K7=0,IF(M7=0,0,-1),M7/ABS(K7))</f>
        <v>-1.5647918315590582E-2</v>
      </c>
    </row>
    <row r="8" spans="1:14" ht="15" customHeight="1" x14ac:dyDescent="0.3">
      <c r="C8" s="131"/>
      <c r="D8" s="132"/>
      <c r="F8" s="133"/>
      <c r="G8" s="131"/>
      <c r="H8" s="132"/>
      <c r="J8" s="133"/>
      <c r="K8" s="131"/>
      <c r="L8" s="132"/>
      <c r="M8" s="109"/>
      <c r="N8" s="133"/>
    </row>
    <row r="9" spans="1:14" s="128" customFormat="1" ht="15" customHeight="1" x14ac:dyDescent="0.35">
      <c r="A9" s="122" t="s">
        <v>3</v>
      </c>
      <c r="B9" s="123"/>
      <c r="C9" s="134">
        <f ca="1">SUM(C5,-C7)</f>
        <v>34417.5</v>
      </c>
      <c r="D9" s="135">
        <f ca="1">SUM(D5,-D7)</f>
        <v>36642</v>
      </c>
      <c r="E9" s="135">
        <f ca="1">SUM(E5,E7)</f>
        <v>2224.5</v>
      </c>
      <c r="F9" s="136">
        <f ca="1">IF(C9=0,IF(E9=0,0,-1),E9/ABS(C9))</f>
        <v>6.4632817607321855E-2</v>
      </c>
      <c r="G9" s="134">
        <f ca="1">SUM(G5,-G7)</f>
        <v>416065</v>
      </c>
      <c r="H9" s="135">
        <f ca="1">SUM(H5,-H7)</f>
        <v>427584.7300000001</v>
      </c>
      <c r="I9" s="135">
        <f ca="1">SUM(I5,I7)</f>
        <v>11519.730000000098</v>
      </c>
      <c r="J9" s="136">
        <f ca="1">IF(G9=0,IF(I9=0,0,-1),I9/ABS(G9))</f>
        <v>2.7687332508141992E-2</v>
      </c>
      <c r="K9" s="134">
        <f ca="1">SUM(K5,-K7)</f>
        <v>780545.5</v>
      </c>
      <c r="L9" s="135">
        <f ca="1">SUM(L5,-L7)</f>
        <v>800376.73</v>
      </c>
      <c r="M9" s="135">
        <f ca="1">SUM(M5,M7)</f>
        <v>19831.229999999981</v>
      </c>
      <c r="N9" s="136">
        <f ca="1">IF(K9=0,IF(M9=0,0,-1),M9/ABS(K9))</f>
        <v>2.5406885312899738E-2</v>
      </c>
    </row>
    <row r="10" spans="1:14" s="137" customFormat="1" ht="15" customHeight="1" x14ac:dyDescent="0.35">
      <c r="A10" s="137" t="s">
        <v>4</v>
      </c>
      <c r="B10" s="138"/>
      <c r="C10" s="139">
        <f ca="1">IF(C5=0,0,C9/C5)</f>
        <v>0.39</v>
      </c>
      <c r="D10" s="140">
        <f ca="1">IF(D5=0,0,D9/D5)</f>
        <v>0.39400000000000002</v>
      </c>
      <c r="E10" s="141">
        <f ca="1">D10-C10</f>
        <v>4.0000000000000036E-3</v>
      </c>
      <c r="F10" s="142"/>
      <c r="G10" s="139">
        <f ca="1">IF(G5=0,0,G9/G5)</f>
        <v>0.37618896925858952</v>
      </c>
      <c r="H10" s="140">
        <f ca="1">IF(H5=0,0,H9/H5)</f>
        <v>0.37817603148631329</v>
      </c>
      <c r="I10" s="141">
        <f ca="1">H10-G10</f>
        <v>1.9870622277237682E-3</v>
      </c>
      <c r="J10" s="142"/>
      <c r="K10" s="139">
        <f ca="1">IF(K5=0,0,K9/K5)</f>
        <v>0.370312885473005</v>
      </c>
      <c r="L10" s="140">
        <f ca="1">IF(L5=0,0,L9/L5)</f>
        <v>0.37254548966672874</v>
      </c>
      <c r="M10" s="141">
        <f ca="1">L10-K10</f>
        <v>2.2326041937237306E-3</v>
      </c>
      <c r="N10" s="142"/>
    </row>
    <row r="11" spans="1:14" ht="15" customHeight="1" x14ac:dyDescent="0.35">
      <c r="A11" s="122"/>
      <c r="B11" s="123"/>
      <c r="C11" s="131"/>
      <c r="D11" s="132"/>
      <c r="F11" s="133"/>
      <c r="G11" s="131"/>
      <c r="H11" s="132"/>
      <c r="J11" s="133"/>
      <c r="K11" s="131"/>
      <c r="L11" s="132"/>
      <c r="M11" s="109"/>
      <c r="N11" s="133"/>
    </row>
    <row r="12" spans="1:14" s="128" customFormat="1" ht="15" customHeight="1" x14ac:dyDescent="0.35">
      <c r="A12" s="122" t="s">
        <v>54</v>
      </c>
      <c r="B12" s="123"/>
      <c r="C12" s="134"/>
      <c r="D12" s="135"/>
      <c r="E12" s="126"/>
      <c r="F12" s="136"/>
      <c r="G12" s="134"/>
      <c r="H12" s="135"/>
      <c r="I12" s="126"/>
      <c r="J12" s="136"/>
      <c r="K12" s="134"/>
      <c r="L12" s="135"/>
      <c r="M12" s="126"/>
      <c r="N12" s="136"/>
    </row>
    <row r="13" spans="1:14" ht="15" customHeight="1" x14ac:dyDescent="0.3">
      <c r="A13" s="129" t="str">
        <f ca="1">OFFSET(Forecast!$B$12,ROW($B13)-ROW($B$12),0,1,1)</f>
        <v>Accounting Fees</v>
      </c>
      <c r="B13" s="130" t="str">
        <f ca="1">IF(A13&lt;&gt;OFFSET(Actual!$B$12,ROW($A13)-ROW($A$12),0,1,1),"ERR","")</f>
        <v/>
      </c>
      <c r="C13" s="131">
        <f ca="1">IF(ISNA(MATCH(Report!$M$1,Months,0))=TRUE,0,OFFSET(Forecast!$B$12,ROW($A13)-ROW($A$12),MATCH(Report!$M$1,Months,0),1,1))</f>
        <v>2000</v>
      </c>
      <c r="D13" s="132">
        <f ca="1">IF(ISNA(MATCH(Report!$M$1,Months,0))=TRUE,0,OFFSET(Actual!$B$12,ROW($A13)-ROW($A$12),MATCH(Report!$M$1,Months,0),1,1))</f>
        <v>2120</v>
      </c>
      <c r="E13" s="109">
        <f ca="1">C13-D13</f>
        <v>-120</v>
      </c>
      <c r="F13" s="133">
        <f t="shared" ref="F13:F36" ca="1" si="0">IF(C13=0,IF(E13=0,0,-1),E13/ABS(C13))</f>
        <v>-0.06</v>
      </c>
      <c r="G13" s="131">
        <f ca="1">IF(ISNA(MATCH(Report!$M$1,Months,0))=TRUE,0,SUM(OFFSET(Forecast!$B$12,ROW($A13)-ROW($A$12),MATCH(Report!$M$1,Months,0),1,-$M$2+$I$2)))</f>
        <v>6000</v>
      </c>
      <c r="H13" s="132">
        <f ca="1">IF(ISNA(MATCH(Report!$M$1,Months,0))=TRUE,0,SUM(OFFSET(Actual!$B$12,ROW($A13)-ROW($A$12),MATCH(Report!$M$1,Months,0),1,-$M$2+$I$2)))</f>
        <v>6360</v>
      </c>
      <c r="I13" s="109">
        <f ca="1">G13-H13</f>
        <v>-360</v>
      </c>
      <c r="J13" s="133">
        <f t="shared" ref="J13:J36" ca="1" si="1">IF(G13=0,IF(I13=0,0,-1),I13/ABS(G13))</f>
        <v>-0.06</v>
      </c>
      <c r="K13" s="131">
        <f ca="1">IF(ISNA(MATCH(Report!$M$1,Months,0))=TRUE,0,SUM(OFFSET(Forecast!$B$12,ROW($A13)-ROW($A$12),MATCH(Report!$M$1,Months,0),1,-$M$2)))</f>
        <v>12000</v>
      </c>
      <c r="L13" s="132">
        <f ca="1">IF(ISNA(MATCH(Report!$M$1,Months,0))=TRUE,0,SUM(OFFSET(Actual!$B$12,ROW($A13)-ROW($A$12),MATCH(Report!$M$1,Months,0),1,-$M$2)))</f>
        <v>12480</v>
      </c>
      <c r="M13" s="109">
        <f ca="1">K13-L13</f>
        <v>-480</v>
      </c>
      <c r="N13" s="133">
        <f t="shared" ref="N13:N36" ca="1" si="2">IF(K13=0,IF(M13=0,0,-1),M13/ABS(K13))</f>
        <v>-0.04</v>
      </c>
    </row>
    <row r="14" spans="1:14" ht="15" customHeight="1" x14ac:dyDescent="0.3">
      <c r="A14" s="129" t="str">
        <f ca="1">OFFSET(Forecast!$B$12,ROW($B14)-ROW($B$12),0,1,1)</f>
        <v>Advertising &amp; Marketing</v>
      </c>
      <c r="B14" s="130" t="str">
        <f ca="1">IF(A14&lt;&gt;OFFSET(Actual!$B$12,ROW($A14)-ROW($A$12),0,1,1),"ERR","")</f>
        <v/>
      </c>
      <c r="C14" s="131">
        <f ca="1">IF(ISNA(MATCH(Report!$M$1,Months,0))=TRUE,0,OFFSET(Forecast!$B$12,ROW($A14)-ROW($A$12),MATCH(Report!$M$1,Months,0),1,1))</f>
        <v>15000</v>
      </c>
      <c r="D14" s="132">
        <f ca="1">IF(ISNA(MATCH(Report!$M$1,Months,0))=TRUE,0,OFFSET(Actual!$B$12,ROW($A14)-ROW($A$12),MATCH(Report!$M$1,Months,0),1,1))</f>
        <v>15000</v>
      </c>
      <c r="E14" s="109">
        <f t="shared" ref="E14:E35" ca="1" si="3">C14-D14</f>
        <v>0</v>
      </c>
      <c r="F14" s="133">
        <f t="shared" ca="1" si="0"/>
        <v>0</v>
      </c>
      <c r="G14" s="131">
        <f ca="1">IF(ISNA(MATCH(Report!$M$1,Months,0))=TRUE,0,SUM(OFFSET(Forecast!$B$12,ROW($A14)-ROW($A$12),MATCH(Report!$M$1,Months,0),1,-$M$2+$I$2)))</f>
        <v>25000</v>
      </c>
      <c r="H14" s="132">
        <f ca="1">IF(ISNA(MATCH(Report!$M$1,Months,0))=TRUE,0,SUM(OFFSET(Actual!$B$12,ROW($A14)-ROW($A$12),MATCH(Report!$M$1,Months,0),1,-$M$2+$I$2)))</f>
        <v>28500</v>
      </c>
      <c r="I14" s="109">
        <f t="shared" ref="I14:I35" ca="1" si="4">G14-H14</f>
        <v>-3500</v>
      </c>
      <c r="J14" s="133">
        <f t="shared" ca="1" si="1"/>
        <v>-0.14000000000000001</v>
      </c>
      <c r="K14" s="131">
        <f ca="1">IF(ISNA(MATCH(Report!$M$1,Months,0))=TRUE,0,SUM(OFFSET(Forecast!$B$12,ROW($A14)-ROW($A$12),MATCH(Report!$M$1,Months,0),1,-$M$2)))</f>
        <v>60000</v>
      </c>
      <c r="L14" s="132">
        <f ca="1">IF(ISNA(MATCH(Report!$M$1,Months,0))=TRUE,0,SUM(OFFSET(Actual!$B$12,ROW($A14)-ROW($A$12),MATCH(Report!$M$1,Months,0),1,-$M$2)))</f>
        <v>62600</v>
      </c>
      <c r="M14" s="109">
        <f t="shared" ref="M14:M35" ca="1" si="5">K14-L14</f>
        <v>-2600</v>
      </c>
      <c r="N14" s="133">
        <f t="shared" ca="1" si="2"/>
        <v>-4.3333333333333335E-2</v>
      </c>
    </row>
    <row r="15" spans="1:14" ht="15" customHeight="1" x14ac:dyDescent="0.3">
      <c r="A15" s="129" t="str">
        <f ca="1">OFFSET(Forecast!$B$12,ROW($B15)-ROW($B$12),0,1,1)</f>
        <v>Bank Charges</v>
      </c>
      <c r="B15" s="130" t="str">
        <f ca="1">IF(A15&lt;&gt;OFFSET(Actual!$B$12,ROW($A15)-ROW($A$12),0,1,1),"ERR","")</f>
        <v/>
      </c>
      <c r="C15" s="131">
        <f ca="1">IF(ISNA(MATCH(Report!$M$1,Months,0))=TRUE,0,OFFSET(Forecast!$B$12,ROW($A15)-ROW($A$12),MATCH(Report!$M$1,Months,0),1,1))</f>
        <v>500</v>
      </c>
      <c r="D15" s="132">
        <f ca="1">IF(ISNA(MATCH(Report!$M$1,Months,0))=TRUE,0,OFFSET(Actual!$B$12,ROW($A15)-ROW($A$12),MATCH(Report!$M$1,Months,0),1,1))</f>
        <v>480</v>
      </c>
      <c r="E15" s="109">
        <f t="shared" ca="1" si="3"/>
        <v>20</v>
      </c>
      <c r="F15" s="133">
        <f t="shared" ca="1" si="0"/>
        <v>0.04</v>
      </c>
      <c r="G15" s="131">
        <f ca="1">IF(ISNA(MATCH(Report!$M$1,Months,0))=TRUE,0,SUM(OFFSET(Forecast!$B$12,ROW($A15)-ROW($A$12),MATCH(Report!$M$1,Months,0),1,-$M$2+$I$2)))</f>
        <v>1500</v>
      </c>
      <c r="H15" s="132">
        <f ca="1">IF(ISNA(MATCH(Report!$M$1,Months,0))=TRUE,0,SUM(OFFSET(Actual!$B$12,ROW($A15)-ROW($A$12),MATCH(Report!$M$1,Months,0),1,-$M$2+$I$2)))</f>
        <v>1380</v>
      </c>
      <c r="I15" s="109">
        <f t="shared" ca="1" si="4"/>
        <v>120</v>
      </c>
      <c r="J15" s="133">
        <f t="shared" ca="1" si="1"/>
        <v>0.08</v>
      </c>
      <c r="K15" s="131">
        <f ca="1">IF(ISNA(MATCH(Report!$M$1,Months,0))=TRUE,0,SUM(OFFSET(Forecast!$B$12,ROW($A15)-ROW($A$12),MATCH(Report!$M$1,Months,0),1,-$M$2)))</f>
        <v>2250</v>
      </c>
      <c r="L15" s="132">
        <f ca="1">IF(ISNA(MATCH(Report!$M$1,Months,0))=TRUE,0,SUM(OFFSET(Actual!$B$12,ROW($A15)-ROW($A$12),MATCH(Report!$M$1,Months,0),1,-$M$2)))</f>
        <v>2160</v>
      </c>
      <c r="M15" s="109">
        <f t="shared" ca="1" si="5"/>
        <v>90</v>
      </c>
      <c r="N15" s="133">
        <f t="shared" ca="1" si="2"/>
        <v>0.04</v>
      </c>
    </row>
    <row r="16" spans="1:14" ht="15" customHeight="1" x14ac:dyDescent="0.3">
      <c r="A16" s="129" t="str">
        <f ca="1">OFFSET(Forecast!$B$12,ROW($B16)-ROW($B$12),0,1,1)</f>
        <v>Cleaning Expenses</v>
      </c>
      <c r="B16" s="130" t="str">
        <f ca="1">IF(A16&lt;&gt;OFFSET(Actual!$B$12,ROW($A16)-ROW($A$12),0,1,1),"ERR","")</f>
        <v/>
      </c>
      <c r="C16" s="131">
        <f ca="1">IF(ISNA(MATCH(Report!$M$1,Months,0))=TRUE,0,OFFSET(Forecast!$B$12,ROW($A16)-ROW($A$12),MATCH(Report!$M$1,Months,0),1,1))</f>
        <v>0</v>
      </c>
      <c r="D16" s="132">
        <f ca="1">IF(ISNA(MATCH(Report!$M$1,Months,0))=TRUE,0,OFFSET(Actual!$B$12,ROW($A16)-ROW($A$12),MATCH(Report!$M$1,Months,0),1,1))</f>
        <v>0</v>
      </c>
      <c r="E16" s="109">
        <f t="shared" ca="1" si="3"/>
        <v>0</v>
      </c>
      <c r="F16" s="133">
        <f t="shared" ca="1" si="0"/>
        <v>0</v>
      </c>
      <c r="G16" s="131">
        <f ca="1">IF(ISNA(MATCH(Report!$M$1,Months,0))=TRUE,0,SUM(OFFSET(Forecast!$B$12,ROW($A16)-ROW($A$12),MATCH(Report!$M$1,Months,0),1,-$M$2+$I$2)))</f>
        <v>2785</v>
      </c>
      <c r="H16" s="132">
        <f ca="1">IF(ISNA(MATCH(Report!$M$1,Months,0))=TRUE,0,SUM(OFFSET(Actual!$B$12,ROW($A16)-ROW($A$12),MATCH(Report!$M$1,Months,0),1,-$M$2+$I$2)))</f>
        <v>2800</v>
      </c>
      <c r="I16" s="109">
        <f t="shared" ca="1" si="4"/>
        <v>-15</v>
      </c>
      <c r="J16" s="133">
        <f t="shared" ca="1" si="1"/>
        <v>-5.3859964093357273E-3</v>
      </c>
      <c r="K16" s="131">
        <f ca="1">IF(ISNA(MATCH(Report!$M$1,Months,0))=TRUE,0,SUM(OFFSET(Forecast!$B$12,ROW($A16)-ROW($A$12),MATCH(Report!$M$1,Months,0),1,-$M$2)))</f>
        <v>5305</v>
      </c>
      <c r="L16" s="132">
        <f ca="1">IF(ISNA(MATCH(Report!$M$1,Months,0))=TRUE,0,SUM(OFFSET(Actual!$B$12,ROW($A16)-ROW($A$12),MATCH(Report!$M$1,Months,0),1,-$M$2)))</f>
        <v>4560</v>
      </c>
      <c r="M16" s="109">
        <f t="shared" ca="1" si="5"/>
        <v>745</v>
      </c>
      <c r="N16" s="133">
        <f t="shared" ca="1" si="2"/>
        <v>0.14043355325164938</v>
      </c>
    </row>
    <row r="17" spans="1:14" ht="15" customHeight="1" x14ac:dyDescent="0.3">
      <c r="A17" s="129" t="str">
        <f ca="1">OFFSET(Forecast!$B$12,ROW($B17)-ROW($B$12),0,1,1)</f>
        <v>Computer Expenses</v>
      </c>
      <c r="B17" s="130" t="str">
        <f ca="1">IF(A17&lt;&gt;OFFSET(Actual!$B$12,ROW($A17)-ROW($A$12),0,1,1),"ERR","")</f>
        <v/>
      </c>
      <c r="C17" s="131">
        <f ca="1">IF(ISNA(MATCH(Report!$M$1,Months,0))=TRUE,0,OFFSET(Forecast!$B$12,ROW($A17)-ROW($A$12),MATCH(Report!$M$1,Months,0),1,1))</f>
        <v>0</v>
      </c>
      <c r="D17" s="132">
        <f ca="1">IF(ISNA(MATCH(Report!$M$1,Months,0))=TRUE,0,OFFSET(Actual!$B$12,ROW($A17)-ROW($A$12),MATCH(Report!$M$1,Months,0),1,1))</f>
        <v>0</v>
      </c>
      <c r="E17" s="109">
        <f t="shared" ca="1" si="3"/>
        <v>0</v>
      </c>
      <c r="F17" s="133">
        <f t="shared" ca="1" si="0"/>
        <v>0</v>
      </c>
      <c r="G17" s="131">
        <f ca="1">IF(ISNA(MATCH(Report!$M$1,Months,0))=TRUE,0,SUM(OFFSET(Forecast!$B$12,ROW($A17)-ROW($A$12),MATCH(Report!$M$1,Months,0),1,-$M$2+$I$2)))</f>
        <v>1285</v>
      </c>
      <c r="H17" s="132">
        <f ca="1">IF(ISNA(MATCH(Report!$M$1,Months,0))=TRUE,0,SUM(OFFSET(Actual!$B$12,ROW($A17)-ROW($A$12),MATCH(Report!$M$1,Months,0),1,-$M$2+$I$2)))</f>
        <v>0</v>
      </c>
      <c r="I17" s="109">
        <f t="shared" ca="1" si="4"/>
        <v>1285</v>
      </c>
      <c r="J17" s="133">
        <f t="shared" ca="1" si="1"/>
        <v>1</v>
      </c>
      <c r="K17" s="131">
        <f ca="1">IF(ISNA(MATCH(Report!$M$1,Months,0))=TRUE,0,SUM(OFFSET(Forecast!$B$12,ROW($A17)-ROW($A$12),MATCH(Report!$M$1,Months,0),1,-$M$2)))</f>
        <v>5085</v>
      </c>
      <c r="L17" s="132">
        <f ca="1">IF(ISNA(MATCH(Report!$M$1,Months,0))=TRUE,0,SUM(OFFSET(Actual!$B$12,ROW($A17)-ROW($A$12),MATCH(Report!$M$1,Months,0),1,-$M$2)))</f>
        <v>3000</v>
      </c>
      <c r="M17" s="109">
        <f t="shared" ca="1" si="5"/>
        <v>2085</v>
      </c>
      <c r="N17" s="133">
        <f t="shared" ca="1" si="2"/>
        <v>0.41002949852507375</v>
      </c>
    </row>
    <row r="18" spans="1:14" ht="15" customHeight="1" x14ac:dyDescent="0.3">
      <c r="A18" s="129" t="str">
        <f ca="1">OFFSET(Forecast!$B$12,ROW($B18)-ROW($B$12),0,1,1)</f>
        <v>Consumables</v>
      </c>
      <c r="B18" s="130" t="str">
        <f ca="1">IF(A18&lt;&gt;OFFSET(Actual!$B$12,ROW($A18)-ROW($A$12),0,1,1),"ERR","")</f>
        <v/>
      </c>
      <c r="C18" s="131">
        <f ca="1">IF(ISNA(MATCH(Report!$M$1,Months,0))=TRUE,0,OFFSET(Forecast!$B$12,ROW($A18)-ROW($A$12),MATCH(Report!$M$1,Months,0),1,1))</f>
        <v>0</v>
      </c>
      <c r="D18" s="132">
        <f ca="1">IF(ISNA(MATCH(Report!$M$1,Months,0))=TRUE,0,OFFSET(Actual!$B$12,ROW($A18)-ROW($A$12),MATCH(Report!$M$1,Months,0),1,1))</f>
        <v>0</v>
      </c>
      <c r="E18" s="109">
        <f t="shared" ca="1" si="3"/>
        <v>0</v>
      </c>
      <c r="F18" s="133">
        <f t="shared" ca="1" si="0"/>
        <v>0</v>
      </c>
      <c r="G18" s="131">
        <f ca="1">IF(ISNA(MATCH(Report!$M$1,Months,0))=TRUE,0,SUM(OFFSET(Forecast!$B$12,ROW($A18)-ROW($A$12),MATCH(Report!$M$1,Months,0),1,-$M$2+$I$2)))</f>
        <v>567</v>
      </c>
      <c r="H18" s="132">
        <f ca="1">IF(ISNA(MATCH(Report!$M$1,Months,0))=TRUE,0,SUM(OFFSET(Actual!$B$12,ROW($A18)-ROW($A$12),MATCH(Report!$M$1,Months,0),1,-$M$2+$I$2)))</f>
        <v>0</v>
      </c>
      <c r="I18" s="109">
        <f t="shared" ca="1" si="4"/>
        <v>567</v>
      </c>
      <c r="J18" s="133">
        <f t="shared" ca="1" si="1"/>
        <v>1</v>
      </c>
      <c r="K18" s="131">
        <f ca="1">IF(ISNA(MATCH(Report!$M$1,Months,0))=TRUE,0,SUM(OFFSET(Forecast!$B$12,ROW($A18)-ROW($A$12),MATCH(Report!$M$1,Months,0),1,-$M$2)))</f>
        <v>2576</v>
      </c>
      <c r="L18" s="132">
        <f ca="1">IF(ISNA(MATCH(Report!$M$1,Months,0))=TRUE,0,SUM(OFFSET(Actual!$B$12,ROW($A18)-ROW($A$12),MATCH(Report!$M$1,Months,0),1,-$M$2)))</f>
        <v>1720</v>
      </c>
      <c r="M18" s="109">
        <f t="shared" ca="1" si="5"/>
        <v>856</v>
      </c>
      <c r="N18" s="133">
        <f t="shared" ca="1" si="2"/>
        <v>0.33229813664596275</v>
      </c>
    </row>
    <row r="19" spans="1:14" ht="15" customHeight="1" x14ac:dyDescent="0.3">
      <c r="A19" s="129" t="str">
        <f ca="1">OFFSET(Forecast!$B$12,ROW($B19)-ROW($B$12),0,1,1)</f>
        <v>Electricity &amp; Water</v>
      </c>
      <c r="B19" s="130" t="str">
        <f ca="1">IF(A19&lt;&gt;OFFSET(Actual!$B$12,ROW($A19)-ROW($A$12),0,1,1),"ERR","")</f>
        <v/>
      </c>
      <c r="C19" s="131">
        <f ca="1">IF(ISNA(MATCH(Report!$M$1,Months,0))=TRUE,0,OFFSET(Forecast!$B$12,ROW($A19)-ROW($A$12),MATCH(Report!$M$1,Months,0),1,1))</f>
        <v>1000</v>
      </c>
      <c r="D19" s="132">
        <f ca="1">IF(ISNA(MATCH(Report!$M$1,Months,0))=TRUE,0,OFFSET(Actual!$B$12,ROW($A19)-ROW($A$12),MATCH(Report!$M$1,Months,0),1,1))</f>
        <v>1150</v>
      </c>
      <c r="E19" s="109">
        <f t="shared" ca="1" si="3"/>
        <v>-150</v>
      </c>
      <c r="F19" s="133">
        <f t="shared" ca="1" si="0"/>
        <v>-0.15</v>
      </c>
      <c r="G19" s="131">
        <f ca="1">IF(ISNA(MATCH(Report!$M$1,Months,0))=TRUE,0,SUM(OFFSET(Forecast!$B$12,ROW($A19)-ROW($A$12),MATCH(Report!$M$1,Months,0),1,-$M$2+$I$2)))</f>
        <v>3000</v>
      </c>
      <c r="H19" s="132">
        <f ca="1">IF(ISNA(MATCH(Report!$M$1,Months,0))=TRUE,0,SUM(OFFSET(Actual!$B$12,ROW($A19)-ROW($A$12),MATCH(Report!$M$1,Months,0),1,-$M$2+$I$2)))</f>
        <v>3450</v>
      </c>
      <c r="I19" s="109">
        <f t="shared" ca="1" si="4"/>
        <v>-450</v>
      </c>
      <c r="J19" s="133">
        <f t="shared" ca="1" si="1"/>
        <v>-0.15</v>
      </c>
      <c r="K19" s="131">
        <f ca="1">IF(ISNA(MATCH(Report!$M$1,Months,0))=TRUE,0,SUM(OFFSET(Forecast!$B$12,ROW($A19)-ROW($A$12),MATCH(Report!$M$1,Months,0),1,-$M$2)))</f>
        <v>6000</v>
      </c>
      <c r="L19" s="132">
        <f ca="1">IF(ISNA(MATCH(Report!$M$1,Months,0))=TRUE,0,SUM(OFFSET(Actual!$B$12,ROW($A19)-ROW($A$12),MATCH(Report!$M$1,Months,0),1,-$M$2)))</f>
        <v>6900</v>
      </c>
      <c r="M19" s="109">
        <f t="shared" ca="1" si="5"/>
        <v>-900</v>
      </c>
      <c r="N19" s="133">
        <f t="shared" ca="1" si="2"/>
        <v>-0.15</v>
      </c>
    </row>
    <row r="20" spans="1:14" ht="15" customHeight="1" x14ac:dyDescent="0.3">
      <c r="A20" s="129" t="str">
        <f ca="1">OFFSET(Forecast!$B$12,ROW($B20)-ROW($B$12),0,1,1)</f>
        <v xml:space="preserve">Entertainment </v>
      </c>
      <c r="B20" s="130" t="str">
        <f ca="1">IF(A20&lt;&gt;OFFSET(Actual!$B$12,ROW($A20)-ROW($A$12),0,1,1),"ERR","")</f>
        <v/>
      </c>
      <c r="C20" s="131">
        <f ca="1">IF(ISNA(MATCH(Report!$M$1,Months,0))=TRUE,0,OFFSET(Forecast!$B$12,ROW($A20)-ROW($A$12),MATCH(Report!$M$1,Months,0),1,1))</f>
        <v>0</v>
      </c>
      <c r="D20" s="132">
        <f ca="1">IF(ISNA(MATCH(Report!$M$1,Months,0))=TRUE,0,OFFSET(Actual!$B$12,ROW($A20)-ROW($A$12),MATCH(Report!$M$1,Months,0),1,1))</f>
        <v>0</v>
      </c>
      <c r="E20" s="109">
        <f t="shared" ca="1" si="3"/>
        <v>0</v>
      </c>
      <c r="F20" s="133">
        <f t="shared" ca="1" si="0"/>
        <v>0</v>
      </c>
      <c r="G20" s="131">
        <f ca="1">IF(ISNA(MATCH(Report!$M$1,Months,0))=TRUE,0,SUM(OFFSET(Forecast!$B$12,ROW($A20)-ROW($A$12),MATCH(Report!$M$1,Months,0),1,-$M$2+$I$2)))</f>
        <v>12000</v>
      </c>
      <c r="H20" s="132">
        <f ca="1">IF(ISNA(MATCH(Report!$M$1,Months,0))=TRUE,0,SUM(OFFSET(Actual!$B$12,ROW($A20)-ROW($A$12),MATCH(Report!$M$1,Months,0),1,-$M$2+$I$2)))</f>
        <v>13800</v>
      </c>
      <c r="I20" s="109">
        <f t="shared" ca="1" si="4"/>
        <v>-1800</v>
      </c>
      <c r="J20" s="133">
        <f t="shared" ca="1" si="1"/>
        <v>-0.15</v>
      </c>
      <c r="K20" s="131">
        <f ca="1">IF(ISNA(MATCH(Report!$M$1,Months,0))=TRUE,0,SUM(OFFSET(Forecast!$B$12,ROW($A20)-ROW($A$12),MATCH(Report!$M$1,Months,0),1,-$M$2)))</f>
        <v>12000</v>
      </c>
      <c r="L20" s="132">
        <f ca="1">IF(ISNA(MATCH(Report!$M$1,Months,0))=TRUE,0,SUM(OFFSET(Actual!$B$12,ROW($A20)-ROW($A$12),MATCH(Report!$M$1,Months,0),1,-$M$2)))</f>
        <v>13800</v>
      </c>
      <c r="M20" s="109">
        <f t="shared" ca="1" si="5"/>
        <v>-1800</v>
      </c>
      <c r="N20" s="133">
        <f t="shared" ca="1" si="2"/>
        <v>-0.15</v>
      </c>
    </row>
    <row r="21" spans="1:14" ht="15" customHeight="1" x14ac:dyDescent="0.3">
      <c r="A21" s="129" t="str">
        <f ca="1">OFFSET(Forecast!$B$12,ROW($B21)-ROW($B$12),0,1,1)</f>
        <v>Equipment Hire</v>
      </c>
      <c r="B21" s="130" t="str">
        <f ca="1">IF(A21&lt;&gt;OFFSET(Actual!$B$12,ROW($A21)-ROW($A$12),0,1,1),"ERR","")</f>
        <v/>
      </c>
      <c r="C21" s="131">
        <f ca="1">IF(ISNA(MATCH(Report!$M$1,Months,0))=TRUE,0,OFFSET(Forecast!$B$12,ROW($A21)-ROW($A$12),MATCH(Report!$M$1,Months,0),1,1))</f>
        <v>0</v>
      </c>
      <c r="D21" s="132">
        <f ca="1">IF(ISNA(MATCH(Report!$M$1,Months,0))=TRUE,0,OFFSET(Actual!$B$12,ROW($A21)-ROW($A$12),MATCH(Report!$M$1,Months,0),1,1))</f>
        <v>0</v>
      </c>
      <c r="E21" s="109">
        <f t="shared" ca="1" si="3"/>
        <v>0</v>
      </c>
      <c r="F21" s="133">
        <f t="shared" ca="1" si="0"/>
        <v>0</v>
      </c>
      <c r="G21" s="131">
        <f ca="1">IF(ISNA(MATCH(Report!$M$1,Months,0))=TRUE,0,SUM(OFFSET(Forecast!$B$12,ROW($A21)-ROW($A$12),MATCH(Report!$M$1,Months,0),1,-$M$2+$I$2)))</f>
        <v>0</v>
      </c>
      <c r="H21" s="132">
        <f ca="1">IF(ISNA(MATCH(Report!$M$1,Months,0))=TRUE,0,SUM(OFFSET(Actual!$B$12,ROW($A21)-ROW($A$12),MATCH(Report!$M$1,Months,0),1,-$M$2+$I$2)))</f>
        <v>0</v>
      </c>
      <c r="I21" s="109">
        <f t="shared" ca="1" si="4"/>
        <v>0</v>
      </c>
      <c r="J21" s="133">
        <f t="shared" ca="1" si="1"/>
        <v>0</v>
      </c>
      <c r="K21" s="131">
        <f ca="1">IF(ISNA(MATCH(Report!$M$1,Months,0))=TRUE,0,SUM(OFFSET(Forecast!$B$12,ROW($A21)-ROW($A$12),MATCH(Report!$M$1,Months,0),1,-$M$2)))</f>
        <v>8000</v>
      </c>
      <c r="L21" s="132">
        <f ca="1">IF(ISNA(MATCH(Report!$M$1,Months,0))=TRUE,0,SUM(OFFSET(Actual!$B$12,ROW($A21)-ROW($A$12),MATCH(Report!$M$1,Months,0),1,-$M$2)))</f>
        <v>8000</v>
      </c>
      <c r="M21" s="109">
        <f t="shared" ca="1" si="5"/>
        <v>0</v>
      </c>
      <c r="N21" s="133">
        <f t="shared" ca="1" si="2"/>
        <v>0</v>
      </c>
    </row>
    <row r="22" spans="1:14" ht="15" customHeight="1" x14ac:dyDescent="0.3">
      <c r="A22" s="129" t="str">
        <f ca="1">OFFSET(Forecast!$B$12,ROW($B22)-ROW($B$12),0,1,1)</f>
        <v>Insurance</v>
      </c>
      <c r="B22" s="130" t="str">
        <f ca="1">IF(A22&lt;&gt;OFFSET(Actual!$B$12,ROW($A22)-ROW($A$12),0,1,1),"ERR","")</f>
        <v/>
      </c>
      <c r="C22" s="131">
        <f ca="1">IF(ISNA(MATCH(Report!$M$1,Months,0))=TRUE,0,OFFSET(Forecast!$B$12,ROW($A22)-ROW($A$12),MATCH(Report!$M$1,Months,0),1,1))</f>
        <v>0</v>
      </c>
      <c r="D22" s="132">
        <f ca="1">IF(ISNA(MATCH(Report!$M$1,Months,0))=TRUE,0,OFFSET(Actual!$B$12,ROW($A22)-ROW($A$12),MATCH(Report!$M$1,Months,0),1,1))</f>
        <v>0</v>
      </c>
      <c r="E22" s="109">
        <f t="shared" ca="1" si="3"/>
        <v>0</v>
      </c>
      <c r="F22" s="133">
        <f t="shared" ca="1" si="0"/>
        <v>0</v>
      </c>
      <c r="G22" s="131">
        <f ca="1">IF(ISNA(MATCH(Report!$M$1,Months,0))=TRUE,0,SUM(OFFSET(Forecast!$B$12,ROW($A22)-ROW($A$12),MATCH(Report!$M$1,Months,0),1,-$M$2+$I$2)))</f>
        <v>6000</v>
      </c>
      <c r="H22" s="132">
        <f ca="1">IF(ISNA(MATCH(Report!$M$1,Months,0))=TRUE,0,SUM(OFFSET(Actual!$B$12,ROW($A22)-ROW($A$12),MATCH(Report!$M$1,Months,0),1,-$M$2+$I$2)))</f>
        <v>6000</v>
      </c>
      <c r="I22" s="109">
        <f t="shared" ca="1" si="4"/>
        <v>0</v>
      </c>
      <c r="J22" s="133">
        <f t="shared" ca="1" si="1"/>
        <v>0</v>
      </c>
      <c r="K22" s="131">
        <f ca="1">IF(ISNA(MATCH(Report!$M$1,Months,0))=TRUE,0,SUM(OFFSET(Forecast!$B$12,ROW($A22)-ROW($A$12),MATCH(Report!$M$1,Months,0),1,-$M$2)))</f>
        <v>12000</v>
      </c>
      <c r="L22" s="132">
        <f ca="1">IF(ISNA(MATCH(Report!$M$1,Months,0))=TRUE,0,SUM(OFFSET(Actual!$B$12,ROW($A22)-ROW($A$12),MATCH(Report!$M$1,Months,0),1,-$M$2)))</f>
        <v>12000</v>
      </c>
      <c r="M22" s="109">
        <f t="shared" ca="1" si="5"/>
        <v>0</v>
      </c>
      <c r="N22" s="133">
        <f t="shared" ca="1" si="2"/>
        <v>0</v>
      </c>
    </row>
    <row r="23" spans="1:14" ht="15" customHeight="1" x14ac:dyDescent="0.3">
      <c r="A23" s="129" t="str">
        <f ca="1">OFFSET(Forecast!$B$12,ROW($B23)-ROW($B$12),0,1,1)</f>
        <v>Legal Fees</v>
      </c>
      <c r="B23" s="130" t="str">
        <f ca="1">IF(A23&lt;&gt;OFFSET(Actual!$B$12,ROW($A23)-ROW($A$12),0,1,1),"ERR","")</f>
        <v/>
      </c>
      <c r="C23" s="131">
        <f ca="1">IF(ISNA(MATCH(Report!$M$1,Months,0))=TRUE,0,OFFSET(Forecast!$B$12,ROW($A23)-ROW($A$12),MATCH(Report!$M$1,Months,0),1,1))</f>
        <v>0</v>
      </c>
      <c r="D23" s="132">
        <f ca="1">IF(ISNA(MATCH(Report!$M$1,Months,0))=TRUE,0,OFFSET(Actual!$B$12,ROW($A23)-ROW($A$12),MATCH(Report!$M$1,Months,0),1,1))</f>
        <v>0</v>
      </c>
      <c r="E23" s="109">
        <f t="shared" ca="1" si="3"/>
        <v>0</v>
      </c>
      <c r="F23" s="133">
        <f t="shared" ca="1" si="0"/>
        <v>0</v>
      </c>
      <c r="G23" s="131">
        <f ca="1">IF(ISNA(MATCH(Report!$M$1,Months,0))=TRUE,0,SUM(OFFSET(Forecast!$B$12,ROW($A23)-ROW($A$12),MATCH(Report!$M$1,Months,0),1,-$M$2+$I$2)))</f>
        <v>12340</v>
      </c>
      <c r="H23" s="132">
        <f ca="1">IF(ISNA(MATCH(Report!$M$1,Months,0))=TRUE,0,SUM(OFFSET(Actual!$B$12,ROW($A23)-ROW($A$12),MATCH(Report!$M$1,Months,0),1,-$M$2+$I$2)))</f>
        <v>15400</v>
      </c>
      <c r="I23" s="109">
        <f t="shared" ca="1" si="4"/>
        <v>-3060</v>
      </c>
      <c r="J23" s="133">
        <f t="shared" ca="1" si="1"/>
        <v>-0.24797406807131281</v>
      </c>
      <c r="K23" s="131">
        <f ca="1">IF(ISNA(MATCH(Report!$M$1,Months,0))=TRUE,0,SUM(OFFSET(Forecast!$B$12,ROW($A23)-ROW($A$12),MATCH(Report!$M$1,Months,0),1,-$M$2)))</f>
        <v>12340</v>
      </c>
      <c r="L23" s="132">
        <f ca="1">IF(ISNA(MATCH(Report!$M$1,Months,0))=TRUE,0,SUM(OFFSET(Actual!$B$12,ROW($A23)-ROW($A$12),MATCH(Report!$M$1,Months,0),1,-$M$2)))</f>
        <v>15400</v>
      </c>
      <c r="M23" s="109">
        <f t="shared" ca="1" si="5"/>
        <v>-3060</v>
      </c>
      <c r="N23" s="133">
        <f t="shared" ca="1" si="2"/>
        <v>-0.24797406807131281</v>
      </c>
    </row>
    <row r="24" spans="1:14" ht="15" customHeight="1" x14ac:dyDescent="0.3">
      <c r="A24" s="129" t="str">
        <f ca="1">OFFSET(Forecast!$B$12,ROW($B24)-ROW($B$12),0,1,1)</f>
        <v>Motor Vehicle Expenses</v>
      </c>
      <c r="B24" s="130" t="str">
        <f ca="1">IF(A24&lt;&gt;OFFSET(Actual!$B$12,ROW($A24)-ROW($A$12),0,1,1),"ERR","")</f>
        <v/>
      </c>
      <c r="C24" s="131">
        <f ca="1">IF(ISNA(MATCH(Report!$M$1,Months,0))=TRUE,0,OFFSET(Forecast!$B$12,ROW($A24)-ROW($A$12),MATCH(Report!$M$1,Months,0),1,1))</f>
        <v>0</v>
      </c>
      <c r="D24" s="132">
        <f ca="1">IF(ISNA(MATCH(Report!$M$1,Months,0))=TRUE,0,OFFSET(Actual!$B$12,ROW($A24)-ROW($A$12),MATCH(Report!$M$1,Months,0),1,1))</f>
        <v>0</v>
      </c>
      <c r="E24" s="109">
        <f t="shared" ca="1" si="3"/>
        <v>0</v>
      </c>
      <c r="F24" s="133">
        <f t="shared" ca="1" si="0"/>
        <v>0</v>
      </c>
      <c r="G24" s="131">
        <f ca="1">IF(ISNA(MATCH(Report!$M$1,Months,0))=TRUE,0,SUM(OFFSET(Forecast!$B$12,ROW($A24)-ROW($A$12),MATCH(Report!$M$1,Months,0),1,-$M$2+$I$2)))</f>
        <v>9000</v>
      </c>
      <c r="H24" s="132">
        <f ca="1">IF(ISNA(MATCH(Report!$M$1,Months,0))=TRUE,0,SUM(OFFSET(Actual!$B$12,ROW($A24)-ROW($A$12),MATCH(Report!$M$1,Months,0),1,-$M$2+$I$2)))</f>
        <v>13520</v>
      </c>
      <c r="I24" s="109">
        <f t="shared" ca="1" si="4"/>
        <v>-4520</v>
      </c>
      <c r="J24" s="133">
        <f t="shared" ca="1" si="1"/>
        <v>-0.50222222222222224</v>
      </c>
      <c r="K24" s="131">
        <f ca="1">IF(ISNA(MATCH(Report!$M$1,Months,0))=TRUE,0,SUM(OFFSET(Forecast!$B$12,ROW($A24)-ROW($A$12),MATCH(Report!$M$1,Months,0),1,-$M$2)))</f>
        <v>10800</v>
      </c>
      <c r="L24" s="132">
        <f ca="1">IF(ISNA(MATCH(Report!$M$1,Months,0))=TRUE,0,SUM(OFFSET(Actual!$B$12,ROW($A24)-ROW($A$12),MATCH(Report!$M$1,Months,0),1,-$M$2)))</f>
        <v>13520</v>
      </c>
      <c r="M24" s="109">
        <f t="shared" ca="1" si="5"/>
        <v>-2720</v>
      </c>
      <c r="N24" s="133">
        <f t="shared" ca="1" si="2"/>
        <v>-0.25185185185185183</v>
      </c>
    </row>
    <row r="25" spans="1:14" ht="15" customHeight="1" x14ac:dyDescent="0.3">
      <c r="A25" s="129" t="str">
        <f ca="1">OFFSET(Forecast!$B$12,ROW($B25)-ROW($B$12),0,1,1)</f>
        <v>Postage</v>
      </c>
      <c r="B25" s="130" t="str">
        <f ca="1">IF(A25&lt;&gt;OFFSET(Actual!$B$12,ROW($A25)-ROW($A$12),0,1,1),"ERR","")</f>
        <v/>
      </c>
      <c r="C25" s="131">
        <f ca="1">IF(ISNA(MATCH(Report!$M$1,Months,0))=TRUE,0,OFFSET(Forecast!$B$12,ROW($A25)-ROW($A$12),MATCH(Report!$M$1,Months,0),1,1))</f>
        <v>100</v>
      </c>
      <c r="D25" s="132">
        <f ca="1">IF(ISNA(MATCH(Report!$M$1,Months,0))=TRUE,0,OFFSET(Actual!$B$12,ROW($A25)-ROW($A$12),MATCH(Report!$M$1,Months,0),1,1))</f>
        <v>125</v>
      </c>
      <c r="E25" s="109">
        <f t="shared" ca="1" si="3"/>
        <v>-25</v>
      </c>
      <c r="F25" s="133">
        <f t="shared" ca="1" si="0"/>
        <v>-0.25</v>
      </c>
      <c r="G25" s="131">
        <f ca="1">IF(ISNA(MATCH(Report!$M$1,Months,0))=TRUE,0,SUM(OFFSET(Forecast!$B$12,ROW($A25)-ROW($A$12),MATCH(Report!$M$1,Months,0),1,-$M$2+$I$2)))</f>
        <v>300</v>
      </c>
      <c r="H25" s="132">
        <f ca="1">IF(ISNA(MATCH(Report!$M$1,Months,0))=TRUE,0,SUM(OFFSET(Actual!$B$12,ROW($A25)-ROW($A$12),MATCH(Report!$M$1,Months,0),1,-$M$2+$I$2)))</f>
        <v>375</v>
      </c>
      <c r="I25" s="109">
        <f t="shared" ca="1" si="4"/>
        <v>-75</v>
      </c>
      <c r="J25" s="133">
        <f t="shared" ca="1" si="1"/>
        <v>-0.25</v>
      </c>
      <c r="K25" s="131">
        <f ca="1">IF(ISNA(MATCH(Report!$M$1,Months,0))=TRUE,0,SUM(OFFSET(Forecast!$B$12,ROW($A25)-ROW($A$12),MATCH(Report!$M$1,Months,0),1,-$M$2)))</f>
        <v>600</v>
      </c>
      <c r="L25" s="132">
        <f ca="1">IF(ISNA(MATCH(Report!$M$1,Months,0))=TRUE,0,SUM(OFFSET(Actual!$B$12,ROW($A25)-ROW($A$12),MATCH(Report!$M$1,Months,0),1,-$M$2)))</f>
        <v>750</v>
      </c>
      <c r="M25" s="109">
        <f t="shared" ca="1" si="5"/>
        <v>-150</v>
      </c>
      <c r="N25" s="133">
        <f t="shared" ca="1" si="2"/>
        <v>-0.25</v>
      </c>
    </row>
    <row r="26" spans="1:14" ht="15" customHeight="1" x14ac:dyDescent="0.3">
      <c r="A26" s="129" t="str">
        <f ca="1">OFFSET(Forecast!$B$12,ROW($B26)-ROW($B$12),0,1,1)</f>
        <v>Printing &amp; Stationery</v>
      </c>
      <c r="B26" s="130" t="str">
        <f ca="1">IF(A26&lt;&gt;OFFSET(Actual!$B$12,ROW($A26)-ROW($A$12),0,1,1),"ERR","")</f>
        <v/>
      </c>
      <c r="C26" s="131">
        <f ca="1">IF(ISNA(MATCH(Report!$M$1,Months,0))=TRUE,0,OFFSET(Forecast!$B$12,ROW($A26)-ROW($A$12),MATCH(Report!$M$1,Months,0),1,1))</f>
        <v>300</v>
      </c>
      <c r="D26" s="132">
        <f ca="1">IF(ISNA(MATCH(Report!$M$1,Months,0))=TRUE,0,OFFSET(Actual!$B$12,ROW($A26)-ROW($A$12),MATCH(Report!$M$1,Months,0),1,1))</f>
        <v>184</v>
      </c>
      <c r="E26" s="109">
        <f t="shared" ca="1" si="3"/>
        <v>116</v>
      </c>
      <c r="F26" s="133">
        <f t="shared" ca="1" si="0"/>
        <v>0.38666666666666666</v>
      </c>
      <c r="G26" s="131">
        <f ca="1">IF(ISNA(MATCH(Report!$M$1,Months,0))=TRUE,0,SUM(OFFSET(Forecast!$B$12,ROW($A26)-ROW($A$12),MATCH(Report!$M$1,Months,0),1,-$M$2+$I$2)))</f>
        <v>900</v>
      </c>
      <c r="H26" s="132">
        <f ca="1">IF(ISNA(MATCH(Report!$M$1,Months,0))=TRUE,0,SUM(OFFSET(Actual!$B$12,ROW($A26)-ROW($A$12),MATCH(Report!$M$1,Months,0),1,-$M$2+$I$2)))</f>
        <v>552</v>
      </c>
      <c r="I26" s="109">
        <f t="shared" ca="1" si="4"/>
        <v>348</v>
      </c>
      <c r="J26" s="133">
        <f t="shared" ca="1" si="1"/>
        <v>0.38666666666666666</v>
      </c>
      <c r="K26" s="131">
        <f ca="1">IF(ISNA(MATCH(Report!$M$1,Months,0))=TRUE,0,SUM(OFFSET(Forecast!$B$12,ROW($A26)-ROW($A$12),MATCH(Report!$M$1,Months,0),1,-$M$2)))</f>
        <v>1800</v>
      </c>
      <c r="L26" s="132">
        <f ca="1">IF(ISNA(MATCH(Report!$M$1,Months,0))=TRUE,0,SUM(OFFSET(Actual!$B$12,ROW($A26)-ROW($A$12),MATCH(Report!$M$1,Months,0),1,-$M$2)))</f>
        <v>1104</v>
      </c>
      <c r="M26" s="109">
        <f t="shared" ca="1" si="5"/>
        <v>696</v>
      </c>
      <c r="N26" s="133">
        <f t="shared" ca="1" si="2"/>
        <v>0.38666666666666666</v>
      </c>
    </row>
    <row r="27" spans="1:14" ht="15" customHeight="1" x14ac:dyDescent="0.3">
      <c r="A27" s="129" t="str">
        <f ca="1">OFFSET(Forecast!$B$12,ROW($B27)-ROW($B$12),0,1,1)</f>
        <v>Professional Fees</v>
      </c>
      <c r="B27" s="130" t="str">
        <f ca="1">IF(A27&lt;&gt;OFFSET(Actual!$B$12,ROW($A27)-ROW($A$12),0,1,1),"ERR","")</f>
        <v/>
      </c>
      <c r="C27" s="131">
        <f ca="1">IF(ISNA(MATCH(Report!$M$1,Months,0))=TRUE,0,OFFSET(Forecast!$B$12,ROW($A27)-ROW($A$12),MATCH(Report!$M$1,Months,0),1,1))</f>
        <v>0</v>
      </c>
      <c r="D27" s="132">
        <f ca="1">IF(ISNA(MATCH(Report!$M$1,Months,0))=TRUE,0,OFFSET(Actual!$B$12,ROW($A27)-ROW($A$12),MATCH(Report!$M$1,Months,0),1,1))</f>
        <v>0</v>
      </c>
      <c r="E27" s="109">
        <f t="shared" ca="1" si="3"/>
        <v>0</v>
      </c>
      <c r="F27" s="133">
        <f t="shared" ca="1" si="0"/>
        <v>0</v>
      </c>
      <c r="G27" s="131">
        <f ca="1">IF(ISNA(MATCH(Report!$M$1,Months,0))=TRUE,0,SUM(OFFSET(Forecast!$B$12,ROW($A27)-ROW($A$12),MATCH(Report!$M$1,Months,0),1,-$M$2+$I$2)))</f>
        <v>0</v>
      </c>
      <c r="H27" s="132">
        <f ca="1">IF(ISNA(MATCH(Report!$M$1,Months,0))=TRUE,0,SUM(OFFSET(Actual!$B$12,ROW($A27)-ROW($A$12),MATCH(Report!$M$1,Months,0),1,-$M$2+$I$2)))</f>
        <v>0</v>
      </c>
      <c r="I27" s="109">
        <f t="shared" ca="1" si="4"/>
        <v>0</v>
      </c>
      <c r="J27" s="133">
        <f t="shared" ca="1" si="1"/>
        <v>0</v>
      </c>
      <c r="K27" s="131">
        <f ca="1">IF(ISNA(MATCH(Report!$M$1,Months,0))=TRUE,0,SUM(OFFSET(Forecast!$B$12,ROW($A27)-ROW($A$12),MATCH(Report!$M$1,Months,0),1,-$M$2)))</f>
        <v>12000</v>
      </c>
      <c r="L27" s="132">
        <f ca="1">IF(ISNA(MATCH(Report!$M$1,Months,0))=TRUE,0,SUM(OFFSET(Actual!$B$12,ROW($A27)-ROW($A$12),MATCH(Report!$M$1,Months,0),1,-$M$2)))</f>
        <v>13520</v>
      </c>
      <c r="M27" s="109">
        <f t="shared" ca="1" si="5"/>
        <v>-1520</v>
      </c>
      <c r="N27" s="133">
        <f t="shared" ca="1" si="2"/>
        <v>-0.12666666666666668</v>
      </c>
    </row>
    <row r="28" spans="1:14" ht="15" customHeight="1" x14ac:dyDescent="0.3">
      <c r="A28" s="129" t="str">
        <f ca="1">OFFSET(Forecast!$B$12,ROW($B28)-ROW($B$12),0,1,1)</f>
        <v>Rent</v>
      </c>
      <c r="B28" s="130" t="str">
        <f ca="1">IF(A28&lt;&gt;OFFSET(Actual!$B$12,ROW($A28)-ROW($A$12),0,1,1),"ERR","")</f>
        <v/>
      </c>
      <c r="C28" s="131">
        <f ca="1">IF(ISNA(MATCH(Report!$M$1,Months,0))=TRUE,0,OFFSET(Forecast!$B$12,ROW($A28)-ROW($A$12),MATCH(Report!$M$1,Months,0),1,1))</f>
        <v>0</v>
      </c>
      <c r="D28" s="132">
        <f ca="1">IF(ISNA(MATCH(Report!$M$1,Months,0))=TRUE,0,OFFSET(Actual!$B$12,ROW($A28)-ROW($A$12),MATCH(Report!$M$1,Months,0),1,1))</f>
        <v>0</v>
      </c>
      <c r="E28" s="109">
        <f t="shared" ca="1" si="3"/>
        <v>0</v>
      </c>
      <c r="F28" s="133">
        <f t="shared" ca="1" si="0"/>
        <v>0</v>
      </c>
      <c r="G28" s="131">
        <f ca="1">IF(ISNA(MATCH(Report!$M$1,Months,0))=TRUE,0,SUM(OFFSET(Forecast!$B$12,ROW($A28)-ROW($A$12),MATCH(Report!$M$1,Months,0),1,-$M$2+$I$2)))</f>
        <v>30000</v>
      </c>
      <c r="H28" s="132">
        <f ca="1">IF(ISNA(MATCH(Report!$M$1,Months,0))=TRUE,0,SUM(OFFSET(Actual!$B$12,ROW($A28)-ROW($A$12),MATCH(Report!$M$1,Months,0),1,-$M$2+$I$2)))</f>
        <v>30000</v>
      </c>
      <c r="I28" s="109">
        <f t="shared" ca="1" si="4"/>
        <v>0</v>
      </c>
      <c r="J28" s="133">
        <f t="shared" ca="1" si="1"/>
        <v>0</v>
      </c>
      <c r="K28" s="131">
        <f ca="1">IF(ISNA(MATCH(Report!$M$1,Months,0))=TRUE,0,SUM(OFFSET(Forecast!$B$12,ROW($A28)-ROW($A$12),MATCH(Report!$M$1,Months,0),1,-$M$2)))</f>
        <v>60000</v>
      </c>
      <c r="L28" s="132">
        <f ca="1">IF(ISNA(MATCH(Report!$M$1,Months,0))=TRUE,0,SUM(OFFSET(Actual!$B$12,ROW($A28)-ROW($A$12),MATCH(Report!$M$1,Months,0),1,-$M$2)))</f>
        <v>60000</v>
      </c>
      <c r="M28" s="109">
        <f t="shared" ca="1" si="5"/>
        <v>0</v>
      </c>
      <c r="N28" s="133">
        <f t="shared" ca="1" si="2"/>
        <v>0</v>
      </c>
    </row>
    <row r="29" spans="1:14" ht="15" customHeight="1" x14ac:dyDescent="0.3">
      <c r="A29" s="129" t="str">
        <f ca="1">OFFSET(Forecast!$B$12,ROW($B29)-ROW($B$12),0,1,1)</f>
        <v>Repairs &amp; Maintenance</v>
      </c>
      <c r="B29" s="130" t="str">
        <f ca="1">IF(A29&lt;&gt;OFFSET(Actual!$B$12,ROW($A29)-ROW($A$12),0,1,1),"ERR","")</f>
        <v/>
      </c>
      <c r="C29" s="131">
        <f ca="1">IF(ISNA(MATCH(Report!$M$1,Months,0))=TRUE,0,OFFSET(Forecast!$B$12,ROW($A29)-ROW($A$12),MATCH(Report!$M$1,Months,0),1,1))</f>
        <v>0</v>
      </c>
      <c r="D29" s="132">
        <f ca="1">IF(ISNA(MATCH(Report!$M$1,Months,0))=TRUE,0,OFFSET(Actual!$B$12,ROW($A29)-ROW($A$12),MATCH(Report!$M$1,Months,0),1,1))</f>
        <v>0</v>
      </c>
      <c r="E29" s="109">
        <f t="shared" ca="1" si="3"/>
        <v>0</v>
      </c>
      <c r="F29" s="133">
        <f t="shared" ca="1" si="0"/>
        <v>0</v>
      </c>
      <c r="G29" s="131">
        <f ca="1">IF(ISNA(MATCH(Report!$M$1,Months,0))=TRUE,0,SUM(OFFSET(Forecast!$B$12,ROW($A29)-ROW($A$12),MATCH(Report!$M$1,Months,0),1,-$M$2+$I$2)))</f>
        <v>2100</v>
      </c>
      <c r="H29" s="132">
        <f ca="1">IF(ISNA(MATCH(Report!$M$1,Months,0))=TRUE,0,SUM(OFFSET(Actual!$B$12,ROW($A29)-ROW($A$12),MATCH(Report!$M$1,Months,0),1,-$M$2+$I$2)))</f>
        <v>2100</v>
      </c>
      <c r="I29" s="109">
        <f t="shared" ca="1" si="4"/>
        <v>0</v>
      </c>
      <c r="J29" s="133">
        <f t="shared" ca="1" si="1"/>
        <v>0</v>
      </c>
      <c r="K29" s="131">
        <f ca="1">IF(ISNA(MATCH(Report!$M$1,Months,0))=TRUE,0,SUM(OFFSET(Forecast!$B$12,ROW($A29)-ROW($A$12),MATCH(Report!$M$1,Months,0),1,-$M$2)))</f>
        <v>6400</v>
      </c>
      <c r="L29" s="132">
        <f ca="1">IF(ISNA(MATCH(Report!$M$1,Months,0))=TRUE,0,SUM(OFFSET(Actual!$B$12,ROW($A29)-ROW($A$12),MATCH(Report!$M$1,Months,0),1,-$M$2)))</f>
        <v>6400</v>
      </c>
      <c r="M29" s="109">
        <f t="shared" ca="1" si="5"/>
        <v>0</v>
      </c>
      <c r="N29" s="133">
        <f t="shared" ca="1" si="2"/>
        <v>0</v>
      </c>
    </row>
    <row r="30" spans="1:14" ht="15" customHeight="1" x14ac:dyDescent="0.3">
      <c r="A30" s="129" t="str">
        <f ca="1">OFFSET(Forecast!$B$12,ROW($B30)-ROW($B$12),0,1,1)</f>
        <v>Salaries &amp; Wages</v>
      </c>
      <c r="B30" s="130" t="str">
        <f ca="1">IF(A30&lt;&gt;OFFSET(Actual!$B$12,ROW($A30)-ROW($A$12),0,1,1),"ERR","")</f>
        <v/>
      </c>
      <c r="C30" s="131">
        <f ca="1">IF(ISNA(MATCH(Report!$M$1,Months,0))=TRUE,0,OFFSET(Forecast!$B$12,ROW($A30)-ROW($A$12),MATCH(Report!$M$1,Months,0),1,1))</f>
        <v>6200</v>
      </c>
      <c r="D30" s="132">
        <f ca="1">IF(ISNA(MATCH(Report!$M$1,Months,0))=TRUE,0,OFFSET(Actual!$B$12,ROW($A30)-ROW($A$12),MATCH(Report!$M$1,Months,0),1,1))</f>
        <v>6500</v>
      </c>
      <c r="E30" s="109">
        <f t="shared" ca="1" si="3"/>
        <v>-300</v>
      </c>
      <c r="F30" s="133">
        <f t="shared" ca="1" si="0"/>
        <v>-4.8387096774193547E-2</v>
      </c>
      <c r="G30" s="131">
        <f ca="1">IF(ISNA(MATCH(Report!$M$1,Months,0))=TRUE,0,SUM(OFFSET(Forecast!$B$12,ROW($A30)-ROW($A$12),MATCH(Report!$M$1,Months,0),1,-$M$2+$I$2)))</f>
        <v>76200</v>
      </c>
      <c r="H30" s="132">
        <f ca="1">IF(ISNA(MATCH(Report!$M$1,Months,0))=TRUE,0,SUM(OFFSET(Actual!$B$12,ROW($A30)-ROW($A$12),MATCH(Report!$M$1,Months,0),1,-$M$2+$I$2)))</f>
        <v>76800</v>
      </c>
      <c r="I30" s="109">
        <f t="shared" ca="1" si="4"/>
        <v>-600</v>
      </c>
      <c r="J30" s="133">
        <f t="shared" ca="1" si="1"/>
        <v>-7.874015748031496E-3</v>
      </c>
      <c r="K30" s="131">
        <f ca="1">IF(ISNA(MATCH(Report!$M$1,Months,0))=TRUE,0,SUM(OFFSET(Forecast!$B$12,ROW($A30)-ROW($A$12),MATCH(Report!$M$1,Months,0),1,-$M$2)))</f>
        <v>151600</v>
      </c>
      <c r="L30" s="132">
        <f ca="1">IF(ISNA(MATCH(Report!$M$1,Months,0))=TRUE,0,SUM(OFFSET(Actual!$B$12,ROW($A30)-ROW($A$12),MATCH(Report!$M$1,Months,0),1,-$M$2)))</f>
        <v>152200</v>
      </c>
      <c r="M30" s="109">
        <f t="shared" ca="1" si="5"/>
        <v>-600</v>
      </c>
      <c r="N30" s="133">
        <f t="shared" ca="1" si="2"/>
        <v>-3.9577836411609502E-3</v>
      </c>
    </row>
    <row r="31" spans="1:14" ht="15" customHeight="1" x14ac:dyDescent="0.3">
      <c r="A31" s="129" t="str">
        <f ca="1">OFFSET(Forecast!$B$12,ROW($B31)-ROW($B$12),0,1,1)</f>
        <v>Security</v>
      </c>
      <c r="B31" s="130" t="str">
        <f ca="1">IF(A31&lt;&gt;OFFSET(Actual!$B$12,ROW($A31)-ROW($A$12),0,1,1),"ERR","")</f>
        <v/>
      </c>
      <c r="C31" s="131">
        <f ca="1">IF(ISNA(MATCH(Report!$M$1,Months,0))=TRUE,0,OFFSET(Forecast!$B$12,ROW($A31)-ROW($A$12),MATCH(Report!$M$1,Months,0),1,1))</f>
        <v>325</v>
      </c>
      <c r="D31" s="132">
        <f ca="1">IF(ISNA(MATCH(Report!$M$1,Months,0))=TRUE,0,OFFSET(Actual!$B$12,ROW($A31)-ROW($A$12),MATCH(Report!$M$1,Months,0),1,1))</f>
        <v>325</v>
      </c>
      <c r="E31" s="109">
        <f t="shared" ca="1" si="3"/>
        <v>0</v>
      </c>
      <c r="F31" s="133">
        <f t="shared" ca="1" si="0"/>
        <v>0</v>
      </c>
      <c r="G31" s="131">
        <f ca="1">IF(ISNA(MATCH(Report!$M$1,Months,0))=TRUE,0,SUM(OFFSET(Forecast!$B$12,ROW($A31)-ROW($A$12),MATCH(Report!$M$1,Months,0),1,-$M$2+$I$2)))</f>
        <v>975</v>
      </c>
      <c r="H31" s="132">
        <f ca="1">IF(ISNA(MATCH(Report!$M$1,Months,0))=TRUE,0,SUM(OFFSET(Actual!$B$12,ROW($A31)-ROW($A$12),MATCH(Report!$M$1,Months,0),1,-$M$2+$I$2)))</f>
        <v>975</v>
      </c>
      <c r="I31" s="109">
        <f t="shared" ca="1" si="4"/>
        <v>0</v>
      </c>
      <c r="J31" s="133">
        <f t="shared" ca="1" si="1"/>
        <v>0</v>
      </c>
      <c r="K31" s="131">
        <f ca="1">IF(ISNA(MATCH(Report!$M$1,Months,0))=TRUE,0,SUM(OFFSET(Forecast!$B$12,ROW($A31)-ROW($A$12),MATCH(Report!$M$1,Months,0),1,-$M$2)))</f>
        <v>1950</v>
      </c>
      <c r="L31" s="132">
        <f ca="1">IF(ISNA(MATCH(Report!$M$1,Months,0))=TRUE,0,SUM(OFFSET(Actual!$B$12,ROW($A31)-ROW($A$12),MATCH(Report!$M$1,Months,0),1,-$M$2)))</f>
        <v>1950</v>
      </c>
      <c r="M31" s="109">
        <f t="shared" ca="1" si="5"/>
        <v>0</v>
      </c>
      <c r="N31" s="133">
        <f t="shared" ca="1" si="2"/>
        <v>0</v>
      </c>
    </row>
    <row r="32" spans="1:14" ht="15" customHeight="1" x14ac:dyDescent="0.3">
      <c r="A32" s="129" t="str">
        <f ca="1">OFFSET(Forecast!$B$12,ROW($B32)-ROW($B$12),0,1,1)</f>
        <v>Subscriptions</v>
      </c>
      <c r="B32" s="130" t="str">
        <f ca="1">IF(A32&lt;&gt;OFFSET(Actual!$B$12,ROW($A32)-ROW($A$12),0,1,1),"ERR","")</f>
        <v/>
      </c>
      <c r="C32" s="131">
        <f ca="1">IF(ISNA(MATCH(Report!$M$1,Months,0))=TRUE,0,OFFSET(Forecast!$B$12,ROW($A32)-ROW($A$12),MATCH(Report!$M$1,Months,0),1,1))</f>
        <v>0</v>
      </c>
      <c r="D32" s="132">
        <f ca="1">IF(ISNA(MATCH(Report!$M$1,Months,0))=TRUE,0,OFFSET(Actual!$B$12,ROW($A32)-ROW($A$12),MATCH(Report!$M$1,Months,0),1,1))</f>
        <v>0</v>
      </c>
      <c r="E32" s="109">
        <f t="shared" ca="1" si="3"/>
        <v>0</v>
      </c>
      <c r="F32" s="133">
        <f t="shared" ca="1" si="0"/>
        <v>0</v>
      </c>
      <c r="G32" s="131">
        <f ca="1">IF(ISNA(MATCH(Report!$M$1,Months,0))=TRUE,0,SUM(OFFSET(Forecast!$B$12,ROW($A32)-ROW($A$12),MATCH(Report!$M$1,Months,0),1,-$M$2+$I$2)))</f>
        <v>0</v>
      </c>
      <c r="H32" s="132">
        <f ca="1">IF(ISNA(MATCH(Report!$M$1,Months,0))=TRUE,0,SUM(OFFSET(Actual!$B$12,ROW($A32)-ROW($A$12),MATCH(Report!$M$1,Months,0),1,-$M$2+$I$2)))</f>
        <v>0</v>
      </c>
      <c r="I32" s="109">
        <f t="shared" ca="1" si="4"/>
        <v>0</v>
      </c>
      <c r="J32" s="133">
        <f t="shared" ca="1" si="1"/>
        <v>0</v>
      </c>
      <c r="K32" s="131">
        <f ca="1">IF(ISNA(MATCH(Report!$M$1,Months,0))=TRUE,0,SUM(OFFSET(Forecast!$B$12,ROW($A32)-ROW($A$12),MATCH(Report!$M$1,Months,0),1,-$M$2)))</f>
        <v>3200</v>
      </c>
      <c r="L32" s="132">
        <f ca="1">IF(ISNA(MATCH(Report!$M$1,Months,0))=TRUE,0,SUM(OFFSET(Actual!$B$12,ROW($A32)-ROW($A$12),MATCH(Report!$M$1,Months,0),1,-$M$2)))</f>
        <v>3280</v>
      </c>
      <c r="M32" s="109">
        <f t="shared" ca="1" si="5"/>
        <v>-80</v>
      </c>
      <c r="N32" s="133">
        <f t="shared" ca="1" si="2"/>
        <v>-2.5000000000000001E-2</v>
      </c>
    </row>
    <row r="33" spans="1:14" s="143" customFormat="1" ht="15" customHeight="1" x14ac:dyDescent="0.3">
      <c r="A33" s="129" t="str">
        <f ca="1">OFFSET(Forecast!$B$12,ROW($B33)-ROW($B$12),0,1,1)</f>
        <v>Telephone &amp; Fax</v>
      </c>
      <c r="B33" s="130" t="str">
        <f ca="1">IF(A33&lt;&gt;OFFSET(Actual!$B$12,ROW($A33)-ROW($A$12),0,1,1),"ERR","")</f>
        <v/>
      </c>
      <c r="C33" s="131">
        <f ca="1">IF(ISNA(MATCH(Report!$M$1,Months,0))=TRUE,0,OFFSET(Forecast!$B$12,ROW($A33)-ROW($A$12),MATCH(Report!$M$1,Months,0),1,1))</f>
        <v>2510</v>
      </c>
      <c r="D33" s="132">
        <f ca="1">IF(ISNA(MATCH(Report!$M$1,Months,0))=TRUE,0,OFFSET(Actual!$B$12,ROW($A33)-ROW($A$12),MATCH(Report!$M$1,Months,0),1,1))</f>
        <v>2745</v>
      </c>
      <c r="E33" s="132">
        <f t="shared" ca="1" si="3"/>
        <v>-235</v>
      </c>
      <c r="F33" s="133">
        <f t="shared" ca="1" si="0"/>
        <v>-9.3625498007968128E-2</v>
      </c>
      <c r="G33" s="131">
        <f ca="1">IF(ISNA(MATCH(Report!$M$1,Months,0))=TRUE,0,SUM(OFFSET(Forecast!$B$12,ROW($A33)-ROW($A$12),MATCH(Report!$M$1,Months,0),1,-$M$2+$I$2)))</f>
        <v>7530</v>
      </c>
      <c r="H33" s="132">
        <f ca="1">IF(ISNA(MATCH(Report!$M$1,Months,0))=TRUE,0,SUM(OFFSET(Actual!$B$12,ROW($A33)-ROW($A$12),MATCH(Report!$M$1,Months,0),1,-$M$2+$I$2)))</f>
        <v>8235</v>
      </c>
      <c r="I33" s="132">
        <f t="shared" ca="1" si="4"/>
        <v>-705</v>
      </c>
      <c r="J33" s="133">
        <f t="shared" ca="1" si="1"/>
        <v>-9.3625498007968128E-2</v>
      </c>
      <c r="K33" s="131">
        <f ca="1">IF(ISNA(MATCH(Report!$M$1,Months,0))=TRUE,0,SUM(OFFSET(Forecast!$B$12,ROW($A33)-ROW($A$12),MATCH(Report!$M$1,Months,0),1,-$M$2)))</f>
        <v>15060</v>
      </c>
      <c r="L33" s="132">
        <f ca="1">IF(ISNA(MATCH(Report!$M$1,Months,0))=TRUE,0,SUM(OFFSET(Actual!$B$12,ROW($A33)-ROW($A$12),MATCH(Report!$M$1,Months,0),1,-$M$2)))</f>
        <v>16470</v>
      </c>
      <c r="M33" s="132">
        <f t="shared" ca="1" si="5"/>
        <v>-1410</v>
      </c>
      <c r="N33" s="133">
        <f t="shared" ca="1" si="2"/>
        <v>-9.3625498007968128E-2</v>
      </c>
    </row>
    <row r="34" spans="1:14" ht="15" customHeight="1" x14ac:dyDescent="0.3">
      <c r="A34" s="129" t="str">
        <f ca="1">OFFSET(Forecast!$B$12,ROW($B34)-ROW($B$12),0,1,1)</f>
        <v>Training</v>
      </c>
      <c r="B34" s="130" t="str">
        <f ca="1">IF(A34&lt;&gt;OFFSET(Actual!$B$12,ROW($A34)-ROW($A$12),0,1,1),"ERR","")</f>
        <v/>
      </c>
      <c r="C34" s="131">
        <f ca="1">IF(ISNA(MATCH(Report!$M$1,Months,0))=TRUE,0,OFFSET(Forecast!$B$12,ROW($A34)-ROW($A$12),MATCH(Report!$M$1,Months,0),1,1))</f>
        <v>0</v>
      </c>
      <c r="D34" s="132">
        <f ca="1">IF(ISNA(MATCH(Report!$M$1,Months,0))=TRUE,0,OFFSET(Actual!$B$12,ROW($A34)-ROW($A$12),MATCH(Report!$M$1,Months,0),1,1))</f>
        <v>0</v>
      </c>
      <c r="E34" s="132">
        <f t="shared" ca="1" si="3"/>
        <v>0</v>
      </c>
      <c r="F34" s="133">
        <f t="shared" ca="1" si="0"/>
        <v>0</v>
      </c>
      <c r="G34" s="131">
        <f ca="1">IF(ISNA(MATCH(Report!$M$1,Months,0))=TRUE,0,SUM(OFFSET(Forecast!$B$12,ROW($A34)-ROW($A$12),MATCH(Report!$M$1,Months,0),1,-$M$2+$I$2)))</f>
        <v>4000</v>
      </c>
      <c r="H34" s="132">
        <f ca="1">IF(ISNA(MATCH(Report!$M$1,Months,0))=TRUE,0,SUM(OFFSET(Actual!$B$12,ROW($A34)-ROW($A$12),MATCH(Report!$M$1,Months,0),1,-$M$2+$I$2)))</f>
        <v>6200</v>
      </c>
      <c r="I34" s="132">
        <f t="shared" ca="1" si="4"/>
        <v>-2200</v>
      </c>
      <c r="J34" s="133">
        <f t="shared" ca="1" si="1"/>
        <v>-0.55000000000000004</v>
      </c>
      <c r="K34" s="131">
        <f ca="1">IF(ISNA(MATCH(Report!$M$1,Months,0))=TRUE,0,SUM(OFFSET(Forecast!$B$12,ROW($A34)-ROW($A$12),MATCH(Report!$M$1,Months,0),1,-$M$2)))</f>
        <v>8000</v>
      </c>
      <c r="L34" s="132">
        <f ca="1">IF(ISNA(MATCH(Report!$M$1,Months,0))=TRUE,0,SUM(OFFSET(Actual!$B$12,ROW($A34)-ROW($A$12),MATCH(Report!$M$1,Months,0),1,-$M$2)))</f>
        <v>11740</v>
      </c>
      <c r="M34" s="132">
        <f t="shared" ca="1" si="5"/>
        <v>-3740</v>
      </c>
      <c r="N34" s="133">
        <f t="shared" ca="1" si="2"/>
        <v>-0.46750000000000003</v>
      </c>
    </row>
    <row r="35" spans="1:14" ht="15" customHeight="1" x14ac:dyDescent="0.3">
      <c r="A35" s="129" t="str">
        <f ca="1">OFFSET(Forecast!$B$12,ROW($B35)-ROW($B$12),0,1,1)</f>
        <v>Uniforms</v>
      </c>
      <c r="B35" s="130" t="str">
        <f ca="1">IF(A35&lt;&gt;OFFSET(Actual!$B$12,ROW($A35)-ROW($A$12),0,1,1),"ERR","")</f>
        <v/>
      </c>
      <c r="C35" s="131">
        <f ca="1">IF(ISNA(MATCH(Report!$M$1,Months,0))=TRUE,0,OFFSET(Forecast!$B$12,ROW($A35)-ROW($A$12),MATCH(Report!$M$1,Months,0),1,1))</f>
        <v>0</v>
      </c>
      <c r="D35" s="132">
        <f ca="1">IF(ISNA(MATCH(Report!$M$1,Months,0))=TRUE,0,OFFSET(Actual!$B$12,ROW($A35)-ROW($A$12),MATCH(Report!$M$1,Months,0),1,1))</f>
        <v>0</v>
      </c>
      <c r="E35" s="109">
        <f t="shared" ca="1" si="3"/>
        <v>0</v>
      </c>
      <c r="F35" s="133">
        <f t="shared" ca="1" si="0"/>
        <v>0</v>
      </c>
      <c r="G35" s="131">
        <f ca="1">IF(ISNA(MATCH(Report!$M$1,Months,0))=TRUE,0,SUM(OFFSET(Forecast!$B$12,ROW($A35)-ROW($A$12),MATCH(Report!$M$1,Months,0),1,-$M$2+$I$2)))</f>
        <v>2500</v>
      </c>
      <c r="H35" s="132">
        <f ca="1">IF(ISNA(MATCH(Report!$M$1,Months,0))=TRUE,0,SUM(OFFSET(Actual!$B$12,ROW($A35)-ROW($A$12),MATCH(Report!$M$1,Months,0),1,-$M$2+$I$2)))</f>
        <v>3500</v>
      </c>
      <c r="I35" s="109">
        <f t="shared" ca="1" si="4"/>
        <v>-1000</v>
      </c>
      <c r="J35" s="133">
        <f t="shared" ca="1" si="1"/>
        <v>-0.4</v>
      </c>
      <c r="K35" s="131">
        <f ca="1">IF(ISNA(MATCH(Report!$M$1,Months,0))=TRUE,0,SUM(OFFSET(Forecast!$B$12,ROW($A35)-ROW($A$12),MATCH(Report!$M$1,Months,0),1,-$M$2)))</f>
        <v>2500</v>
      </c>
      <c r="L35" s="132">
        <f ca="1">IF(ISNA(MATCH(Report!$M$1,Months,0))=TRUE,0,SUM(OFFSET(Actual!$B$12,ROW($A35)-ROW($A$12),MATCH(Report!$M$1,Months,0),1,-$M$2)))</f>
        <v>3500</v>
      </c>
      <c r="M35" s="109">
        <f t="shared" ca="1" si="5"/>
        <v>-1000</v>
      </c>
      <c r="N35" s="133">
        <f t="shared" ca="1" si="2"/>
        <v>-0.4</v>
      </c>
    </row>
    <row r="36" spans="1:14" s="128" customFormat="1" ht="15" customHeight="1" x14ac:dyDescent="0.35">
      <c r="A36" s="122" t="s">
        <v>56</v>
      </c>
      <c r="B36" s="130" t="str">
        <f ca="1">IF(A36&lt;&gt;OFFSET(Actual!$B$12,ROW($A36)-ROW($A$12),0,1,1),"ERR","")</f>
        <v/>
      </c>
      <c r="C36" s="134">
        <f ca="1">SUM(OFFSET(C$12,1,0,ROW($B$36)-ROW($B$12)-1,1))</f>
        <v>27935</v>
      </c>
      <c r="D36" s="135">
        <f ca="1">SUM(OFFSET(D$12,1,0,ROW($B$36)-ROW($B$12)-1,1))</f>
        <v>28629</v>
      </c>
      <c r="E36" s="135">
        <f ca="1">SUM(OFFSET(E$12,1,0,ROW($B$36)-ROW($B$12)-1,1))</f>
        <v>-694</v>
      </c>
      <c r="F36" s="136">
        <f t="shared" ca="1" si="0"/>
        <v>-2.4843386432790406E-2</v>
      </c>
      <c r="G36" s="134">
        <f ca="1">SUM(OFFSET(G$12,1,0,ROW($B$36)-ROW($B$12)-1,1))</f>
        <v>203982</v>
      </c>
      <c r="H36" s="135">
        <f ca="1">SUM(OFFSET(H$12,1,0,ROW($B$36)-ROW($B$12)-1,1))</f>
        <v>219947</v>
      </c>
      <c r="I36" s="135">
        <f ca="1">SUM(OFFSET(I$12,1,0,ROW($B$36)-ROW($B$12)-1,1))</f>
        <v>-15965</v>
      </c>
      <c r="J36" s="136">
        <f t="shared" ca="1" si="1"/>
        <v>-7.8266709807728138E-2</v>
      </c>
      <c r="K36" s="134">
        <f ca="1">SUM(OFFSET(K$12,1,0,ROW($B$36)-ROW($B$12)-1,1))</f>
        <v>411466</v>
      </c>
      <c r="L36" s="135">
        <f ca="1">SUM(OFFSET(L$12,1,0,ROW($B$36)-ROW($B$12)-1,1))</f>
        <v>427054</v>
      </c>
      <c r="M36" s="135">
        <f ca="1">SUM(OFFSET(M$12,1,0,ROW($B$36)-ROW($B$12)-1,1))</f>
        <v>-15588</v>
      </c>
      <c r="N36" s="136">
        <f t="shared" ca="1" si="2"/>
        <v>-3.788405360345691E-2</v>
      </c>
    </row>
    <row r="37" spans="1:14" ht="15" customHeight="1" x14ac:dyDescent="0.3">
      <c r="C37" s="131"/>
      <c r="D37" s="132"/>
      <c r="F37" s="133"/>
      <c r="G37" s="131"/>
      <c r="H37" s="132"/>
      <c r="J37" s="133"/>
      <c r="K37" s="131"/>
      <c r="L37" s="132"/>
      <c r="M37" s="109"/>
      <c r="N37" s="133"/>
    </row>
    <row r="38" spans="1:14" s="150" customFormat="1" ht="15" customHeight="1" x14ac:dyDescent="0.3">
      <c r="A38" s="144" t="s">
        <v>66</v>
      </c>
      <c r="B38" s="145"/>
      <c r="C38" s="146">
        <f ca="1">IF(ISNA(MATCH(Report!$M$1,Months,0))=TRUE,0,OFFSET(Forecast!$B$38,0,MATCH(Report!$M$1,Months,0),1,1))</f>
        <v>16000</v>
      </c>
      <c r="D38" s="147">
        <f ca="1">IF(ISNA(MATCH(Report!$M$1,Months,0))=TRUE,0,OFFSET(Actual!$B$38,0,MATCH(Report!$M$1,Months,0),1,1))</f>
        <v>16000</v>
      </c>
      <c r="E38" s="148">
        <f ca="1">C38-D38</f>
        <v>0</v>
      </c>
      <c r="F38" s="149">
        <f ca="1">IF(C38=0,IF(E38=0,0,-1),E38/ABS(C38))</f>
        <v>0</v>
      </c>
      <c r="G38" s="146">
        <f ca="1">IF(ISNA(MATCH(Report!$M$1,Months,0))=TRUE,0,SUM(OFFSET(Forecast!$B$38,0,MATCH(Report!$M$1,Months,0),1,-$M$2+$I$2)))</f>
        <v>46000</v>
      </c>
      <c r="H38" s="147">
        <f ca="1">IF(ISNA(MATCH(Report!$M$1,Months,0))=TRUE,0,SUM(OFFSET(Actual!$B$38,0,MATCH(Report!$M$1,Months,0),1,-$M$2+$I$2)))</f>
        <v>46000</v>
      </c>
      <c r="I38" s="148">
        <f ca="1">G38-H38</f>
        <v>0</v>
      </c>
      <c r="J38" s="149">
        <f ca="1">IF(G38=0,IF(I38=0,0,-1),I38/ABS(G38))</f>
        <v>0</v>
      </c>
      <c r="K38" s="146">
        <f ca="1">IF(ISNA(MATCH(Report!$M$1,Months,0))=TRUE,0,SUM(OFFSET(Forecast!$B$38,0,MATCH(Report!$M$1,Months,0),1,-$M$2)))</f>
        <v>87666</v>
      </c>
      <c r="L38" s="147">
        <f ca="1">IF(ISNA(MATCH(Report!$M$1,Months,0))=TRUE,0,SUM(OFFSET(Actual!$B$38,0,MATCH(Report!$M$1,Months,0),1,-$M$2)))</f>
        <v>87666</v>
      </c>
      <c r="M38" s="148">
        <f ca="1">K38-L38</f>
        <v>0</v>
      </c>
      <c r="N38" s="149">
        <f ca="1">IF(K38=0,IF(M38=0,0,-1),M38/ABS(K38))</f>
        <v>0</v>
      </c>
    </row>
    <row r="39" spans="1:14" ht="15" customHeight="1" x14ac:dyDescent="0.3">
      <c r="C39" s="131"/>
      <c r="D39" s="132"/>
      <c r="F39" s="133"/>
      <c r="G39" s="131"/>
      <c r="H39" s="132"/>
      <c r="J39" s="133"/>
      <c r="K39" s="131"/>
      <c r="L39" s="132"/>
      <c r="M39" s="109"/>
      <c r="N39" s="133"/>
    </row>
    <row r="40" spans="1:14" s="128" customFormat="1" ht="15" customHeight="1" x14ac:dyDescent="0.35">
      <c r="A40" s="122" t="s">
        <v>63</v>
      </c>
      <c r="B40" s="123"/>
      <c r="C40" s="134">
        <f ca="1">SUM(C9,-C36,-C38)</f>
        <v>-9517.5</v>
      </c>
      <c r="D40" s="135">
        <f ca="1">SUM(D9,-D36,-D38)</f>
        <v>-7987</v>
      </c>
      <c r="E40" s="135">
        <f ca="1">SUM(E9,E36,E38)</f>
        <v>1530.5</v>
      </c>
      <c r="F40" s="136">
        <f ca="1">IF(C40=0,IF(E40=0,0,-1),E40/ABS(C40))</f>
        <v>0.16080903598634094</v>
      </c>
      <c r="G40" s="134">
        <f ca="1">SUM(G9,-G36,-G38)</f>
        <v>166083</v>
      </c>
      <c r="H40" s="135">
        <f ca="1">SUM(H9,-H36,-H38)</f>
        <v>161637.7300000001</v>
      </c>
      <c r="I40" s="135">
        <f ca="1">SUM(I9,I36,I38)</f>
        <v>-4445.2699999999022</v>
      </c>
      <c r="J40" s="136">
        <f ca="1">IF(G40=0,IF(I40=0,0,-1),I40/ABS(G40))</f>
        <v>-2.6765352263626634E-2</v>
      </c>
      <c r="K40" s="134">
        <f ca="1">SUM(K9,-K36,-K38)</f>
        <v>281413.5</v>
      </c>
      <c r="L40" s="135">
        <f ca="1">SUM(L9,-L36,-L38)</f>
        <v>285656.73</v>
      </c>
      <c r="M40" s="135">
        <f ca="1">SUM(M9,M36,M38)</f>
        <v>4243.2299999999814</v>
      </c>
      <c r="N40" s="136">
        <f ca="1">IF(K40=0,IF(M40=0,0,-1),M40/ABS(K40))</f>
        <v>1.5078274496426012E-2</v>
      </c>
    </row>
    <row r="41" spans="1:14" ht="15" customHeight="1" x14ac:dyDescent="0.3">
      <c r="C41" s="131"/>
      <c r="D41" s="132"/>
      <c r="F41" s="133"/>
      <c r="G41" s="131"/>
      <c r="H41" s="132"/>
      <c r="J41" s="133"/>
      <c r="K41" s="131"/>
      <c r="L41" s="132"/>
      <c r="M41" s="109"/>
      <c r="N41" s="133"/>
    </row>
    <row r="42" spans="1:14" s="150" customFormat="1" ht="15" customHeight="1" x14ac:dyDescent="0.3">
      <c r="A42" s="144" t="s">
        <v>47</v>
      </c>
      <c r="B42" s="145"/>
      <c r="C42" s="146">
        <f ca="1">IF(ISNA(MATCH(Report!$M$1,Months,0))=TRUE,0,OFFSET(Forecast!$B$42,0,MATCH(Report!$M$1,Months,0),1,1))</f>
        <v>0</v>
      </c>
      <c r="D42" s="147">
        <f ca="1">IF(ISNA(MATCH(Report!$M$1,Months,0))=TRUE,0,OFFSET(Actual!$B$42,0,MATCH(Report!$M$1,Months,0),1,1))</f>
        <v>0</v>
      </c>
      <c r="E42" s="148">
        <f ca="1">C42-D42</f>
        <v>0</v>
      </c>
      <c r="F42" s="149">
        <f ca="1">IF(C42=0,IF(E42=0,0,-1),E42/ABS(C42))</f>
        <v>0</v>
      </c>
      <c r="G42" s="146">
        <f ca="1">IF(ISNA(MATCH(Report!$M$1,Months,0))=TRUE,0,SUM(OFFSET(Forecast!$B$42,0,MATCH(Report!$M$1,Months,0),1,-$M$2+$I$2)))</f>
        <v>29973.99560436231</v>
      </c>
      <c r="H42" s="147">
        <f ca="1">IF(ISNA(MATCH(Report!$M$1,Months,0))=TRUE,0,SUM(OFFSET(Actual!$B$42,0,MATCH(Report!$M$1,Months,0),1,-$M$2+$I$2)))</f>
        <v>24530</v>
      </c>
      <c r="I42" s="148">
        <f ca="1">G42-H42</f>
        <v>5443.9956043623097</v>
      </c>
      <c r="J42" s="149">
        <f ca="1">IF(G42=0,IF(I42=0,0,-1),I42/ABS(G42))</f>
        <v>0.18162395418413985</v>
      </c>
      <c r="K42" s="146">
        <f ca="1">IF(ISNA(MATCH(Report!$M$1,Months,0))=TRUE,0,SUM(OFFSET(Forecast!$B$42,0,MATCH(Report!$M$1,Months,0),1,-$M$2)))</f>
        <v>58479.942205584201</v>
      </c>
      <c r="L42" s="147">
        <f ca="1">IF(ISNA(MATCH(Report!$M$1,Months,0))=TRUE,0,SUM(OFFSET(Actual!$B$42,0,MATCH(Report!$M$1,Months,0),1,-$M$2)))</f>
        <v>48950</v>
      </c>
      <c r="M42" s="148">
        <f ca="1">K42-L42</f>
        <v>9529.9422055842006</v>
      </c>
      <c r="N42" s="149">
        <f ca="1">IF(K42=0,IF(M42=0,0,-1),M42/ABS(K42))</f>
        <v>0.16296086908023985</v>
      </c>
    </row>
    <row r="43" spans="1:14" s="153" customFormat="1" ht="15" customHeight="1" x14ac:dyDescent="0.3">
      <c r="A43" s="151" t="s">
        <v>41</v>
      </c>
      <c r="B43" s="152"/>
      <c r="C43" s="146">
        <f ca="1">IF(ISNA(MATCH(Report!$M$1,Months,0))=TRUE,0,OFFSET(Forecast!$B$43,0,MATCH(Report!$M$1,Months,0),1,1))</f>
        <v>-2664.9000000000015</v>
      </c>
      <c r="D43" s="147">
        <f ca="1">IF(ISNA(MATCH(Report!$M$1,Months,0))=TRUE,0,OFFSET(Actual!$B$43,0,MATCH(Report!$M$1,Months,0),1,1))</f>
        <v>-2236.3600000000006</v>
      </c>
      <c r="E43" s="148">
        <f ca="1">C43-D43</f>
        <v>-428.54000000000087</v>
      </c>
      <c r="F43" s="133">
        <f ca="1">IF(C43=0,IF(E43=0,0,-1),E43/ABS(C43))</f>
        <v>-0.16080903598634119</v>
      </c>
      <c r="G43" s="146">
        <f ca="1">IF(ISNA(MATCH(Report!$M$1,Months,0))=TRUE,0,SUM(OFFSET(Forecast!$B$43,0,MATCH(Report!$M$1,Months,0),1,-$M$2+$I$2)))</f>
        <v>38110.521230778555</v>
      </c>
      <c r="H43" s="147">
        <f ca="1">IF(ISNA(MATCH(Report!$M$1,Months,0))=TRUE,0,SUM(OFFSET(Actual!$B$43,0,MATCH(Report!$M$1,Months,0),1,-$M$2+$I$2)))</f>
        <v>38390.164399999994</v>
      </c>
      <c r="I43" s="148">
        <f ca="1">G43-H43</f>
        <v>-279.64316922143917</v>
      </c>
      <c r="J43" s="133">
        <f ca="1">IF(G43=0,IF(I43=0,0,-1),I43/ABS(G43))</f>
        <v>-7.3376894408779614E-3</v>
      </c>
      <c r="K43" s="146">
        <f ca="1">IF(ISNA(MATCH(Report!$M$1,Months,0))=TRUE,0,SUM(OFFSET(Forecast!$B$43,0,MATCH(Report!$M$1,Months,0),1,-$M$2)))</f>
        <v>62421.396182436431</v>
      </c>
      <c r="L43" s="147">
        <f ca="1">IF(ISNA(MATCH(Report!$M$1,Months,0))=TRUE,0,SUM(OFFSET(Actual!$B$43,0,MATCH(Report!$M$1,Months,0),1,-$M$2)))</f>
        <v>66277.884399999995</v>
      </c>
      <c r="M43" s="148">
        <f ca="1">K43-L43</f>
        <v>-3856.4882175635648</v>
      </c>
      <c r="N43" s="133">
        <f ca="1">IF(K43=0,IF(M43=0,0,-1),M43/ABS(K43))</f>
        <v>-6.1781511683788141E-2</v>
      </c>
    </row>
    <row r="44" spans="1:14" ht="15" customHeight="1" x14ac:dyDescent="0.35">
      <c r="A44" s="122"/>
      <c r="B44" s="123"/>
      <c r="C44" s="131"/>
      <c r="D44" s="132"/>
      <c r="F44" s="133"/>
      <c r="G44" s="131"/>
      <c r="H44" s="132"/>
      <c r="J44" s="133"/>
      <c r="K44" s="131"/>
      <c r="L44" s="132"/>
      <c r="M44" s="109"/>
      <c r="N44" s="133"/>
    </row>
    <row r="45" spans="1:14" s="128" customFormat="1" ht="15" customHeight="1" x14ac:dyDescent="0.35">
      <c r="A45" s="122" t="s">
        <v>64</v>
      </c>
      <c r="B45" s="123"/>
      <c r="C45" s="134">
        <f ca="1">SUM(C40,-C42,-C43)</f>
        <v>-6852.5999999999985</v>
      </c>
      <c r="D45" s="135">
        <f ca="1">SUM(D40,-D42,-D43)</f>
        <v>-5750.6399999999994</v>
      </c>
      <c r="E45" s="126">
        <f ca="1">SUM(E40,E42,E43)</f>
        <v>1101.9599999999991</v>
      </c>
      <c r="F45" s="136">
        <f ca="1">IF(C45=0,IF(E45=0,0,-1),E45/ABS(C45))</f>
        <v>0.16080903598634086</v>
      </c>
      <c r="G45" s="134">
        <f ca="1">SUM(G40,-G42,-G43)</f>
        <v>97998.483164859135</v>
      </c>
      <c r="H45" s="135">
        <f ca="1">SUM(H40,-H42,-H43)</f>
        <v>98717.565600000104</v>
      </c>
      <c r="I45" s="126">
        <f ca="1">SUM(I40,I42,I43)</f>
        <v>719.0824351409683</v>
      </c>
      <c r="J45" s="136">
        <f ca="1">IF(G45=0,IF(I45=0,0,-1),I45/ABS(G45))</f>
        <v>7.3376894408792347E-3</v>
      </c>
      <c r="K45" s="134">
        <f ca="1">SUM(K40,-K42,-K43)</f>
        <v>160512.16161197936</v>
      </c>
      <c r="L45" s="135">
        <f ca="1">SUM(L40,-L42,-L43)</f>
        <v>170428.8456</v>
      </c>
      <c r="M45" s="126">
        <f ca="1">SUM(M40,M42,M43)</f>
        <v>9916.6839880206171</v>
      </c>
      <c r="N45" s="136">
        <f ca="1">IF(K45=0,IF(M45=0,0,-1),M45/ABS(K45))</f>
        <v>6.1781511683788287E-2</v>
      </c>
    </row>
    <row r="46" spans="1:14" ht="15" customHeight="1" x14ac:dyDescent="0.3">
      <c r="C46" s="154"/>
      <c r="D46" s="155"/>
      <c r="E46" s="155"/>
      <c r="F46" s="156"/>
      <c r="G46" s="154"/>
      <c r="H46" s="155"/>
      <c r="I46" s="155"/>
      <c r="J46" s="156"/>
      <c r="K46" s="154"/>
      <c r="L46" s="155"/>
      <c r="M46" s="155"/>
      <c r="N46" s="156"/>
    </row>
    <row r="47" spans="1:14" s="143" customFormat="1" ht="15" customHeight="1" x14ac:dyDescent="0.3">
      <c r="A47" s="157"/>
      <c r="B47" s="158"/>
      <c r="C47" s="132"/>
      <c r="D47" s="132"/>
      <c r="E47" s="132"/>
      <c r="F47" s="159"/>
      <c r="G47" s="132"/>
      <c r="H47" s="132"/>
      <c r="I47" s="132"/>
      <c r="J47" s="159"/>
      <c r="K47" s="132"/>
      <c r="L47" s="132"/>
      <c r="M47" s="132"/>
      <c r="N47" s="159"/>
    </row>
    <row r="48" spans="1:14" s="115" customFormat="1" ht="18" customHeight="1" x14ac:dyDescent="0.35">
      <c r="A48" s="160"/>
      <c r="B48" s="114"/>
      <c r="C48" s="215" t="str">
        <f ca="1">C3</f>
        <v>Week 26</v>
      </c>
      <c r="D48" s="216"/>
      <c r="E48" s="216"/>
      <c r="F48" s="217"/>
      <c r="G48" s="215" t="str">
        <f ca="1">"Quarter "&amp;$J$2</f>
        <v>Quarter 2</v>
      </c>
      <c r="H48" s="216"/>
      <c r="I48" s="216"/>
      <c r="J48" s="217"/>
      <c r="K48" s="218" t="s">
        <v>117</v>
      </c>
      <c r="L48" s="219"/>
      <c r="M48" s="219"/>
      <c r="N48" s="220"/>
    </row>
    <row r="49" spans="1:14" s="121" customFormat="1" ht="18" customHeight="1" x14ac:dyDescent="0.35">
      <c r="A49" s="213" t="s">
        <v>123</v>
      </c>
      <c r="B49" s="214"/>
      <c r="C49" s="116" t="s">
        <v>119</v>
      </c>
      <c r="D49" s="117" t="s">
        <v>120</v>
      </c>
      <c r="E49" s="117" t="s">
        <v>121</v>
      </c>
      <c r="F49" s="118" t="s">
        <v>122</v>
      </c>
      <c r="G49" s="119" t="s">
        <v>119</v>
      </c>
      <c r="H49" s="120" t="s">
        <v>120</v>
      </c>
      <c r="I49" s="117" t="s">
        <v>121</v>
      </c>
      <c r="J49" s="118" t="s">
        <v>122</v>
      </c>
      <c r="K49" s="119" t="s">
        <v>119</v>
      </c>
      <c r="L49" s="120" t="s">
        <v>120</v>
      </c>
      <c r="M49" s="117" t="s">
        <v>121</v>
      </c>
      <c r="N49" s="118" t="s">
        <v>122</v>
      </c>
    </row>
    <row r="50" spans="1:14" ht="15" customHeight="1" x14ac:dyDescent="0.35">
      <c r="A50" s="128" t="s">
        <v>67</v>
      </c>
      <c r="C50" s="131"/>
      <c r="D50" s="132"/>
      <c r="F50" s="133"/>
      <c r="G50" s="131"/>
      <c r="H50" s="132"/>
      <c r="J50" s="133"/>
      <c r="K50" s="131"/>
      <c r="L50" s="132"/>
      <c r="M50" s="109"/>
      <c r="N50" s="133"/>
    </row>
    <row r="51" spans="1:14" ht="15" customHeight="1" x14ac:dyDescent="0.3">
      <c r="A51" s="161" t="s">
        <v>64</v>
      </c>
      <c r="C51" s="131">
        <f ca="1">C45</f>
        <v>-6852.5999999999985</v>
      </c>
      <c r="D51" s="132">
        <f ca="1">D45</f>
        <v>-5750.6399999999994</v>
      </c>
      <c r="E51" s="109">
        <f ca="1">D51-C51</f>
        <v>1101.9599999999991</v>
      </c>
      <c r="F51" s="133">
        <f ca="1">IF(C51=0,IF(E51=0,0,-1),E51/ABS(C51))</f>
        <v>0.16080903598634086</v>
      </c>
      <c r="G51" s="131">
        <f ca="1">G45</f>
        <v>97998.483164859135</v>
      </c>
      <c r="H51" s="132">
        <f ca="1">H45</f>
        <v>98717.565600000104</v>
      </c>
      <c r="I51" s="109">
        <f ca="1">H51-G51</f>
        <v>719.0824351409683</v>
      </c>
      <c r="J51" s="133">
        <f ca="1">IF(G51=0,IF(I51=0,0,-1),I51/ABS(G51))</f>
        <v>7.3376894408792347E-3</v>
      </c>
      <c r="K51" s="131">
        <f ca="1">K45</f>
        <v>160512.16161197936</v>
      </c>
      <c r="L51" s="132">
        <f ca="1">L45</f>
        <v>170428.8456</v>
      </c>
      <c r="M51" s="109">
        <f ca="1">L51-K51</f>
        <v>9916.6839880206389</v>
      </c>
      <c r="N51" s="133">
        <f ca="1">IF(K51=0,IF(M51=0,0,-1),M51/ABS(K51))</f>
        <v>6.1781511683788426E-2</v>
      </c>
    </row>
    <row r="52" spans="1:14" ht="15" customHeight="1" x14ac:dyDescent="0.3">
      <c r="A52" s="161" t="s">
        <v>47</v>
      </c>
      <c r="C52" s="131">
        <f ca="1">C42</f>
        <v>0</v>
      </c>
      <c r="D52" s="132">
        <f ca="1">D42</f>
        <v>0</v>
      </c>
      <c r="E52" s="109">
        <f ca="1">D52-C52</f>
        <v>0</v>
      </c>
      <c r="F52" s="133">
        <f ca="1">IF(C52=0,IF(E52=0,0,-1),E52/ABS(C52))</f>
        <v>0</v>
      </c>
      <c r="G52" s="131">
        <f ca="1">G42</f>
        <v>29973.99560436231</v>
      </c>
      <c r="H52" s="132">
        <f ca="1">H42</f>
        <v>24530</v>
      </c>
      <c r="I52" s="109">
        <f ca="1">H52-G52</f>
        <v>-5443.9956043623097</v>
      </c>
      <c r="J52" s="133">
        <f ca="1">IF(G52=0,IF(I52=0,0,-1),I52/ABS(G52))</f>
        <v>-0.18162395418413985</v>
      </c>
      <c r="K52" s="131">
        <f ca="1">K42</f>
        <v>58479.942205584201</v>
      </c>
      <c r="L52" s="132">
        <f ca="1">L42</f>
        <v>48950</v>
      </c>
      <c r="M52" s="109">
        <f ca="1">L52-K52</f>
        <v>-9529.9422055842006</v>
      </c>
      <c r="N52" s="133">
        <f ca="1">IF(K52=0,IF(M52=0,0,-1),M52/ABS(K52))</f>
        <v>-0.16296086908023985</v>
      </c>
    </row>
    <row r="53" spans="1:14" ht="15" customHeight="1" x14ac:dyDescent="0.3">
      <c r="A53" s="161" t="s">
        <v>41</v>
      </c>
      <c r="C53" s="131">
        <f ca="1">C43</f>
        <v>-2664.9000000000015</v>
      </c>
      <c r="D53" s="132">
        <f ca="1">D43</f>
        <v>-2236.3600000000006</v>
      </c>
      <c r="E53" s="109">
        <f ca="1">D53-C53</f>
        <v>428.54000000000087</v>
      </c>
      <c r="F53" s="133">
        <f ca="1">IF(C53=0,IF(E53=0,0,-1),E53/ABS(C53))</f>
        <v>0.16080903598634119</v>
      </c>
      <c r="G53" s="131">
        <f ca="1">G43</f>
        <v>38110.521230778555</v>
      </c>
      <c r="H53" s="132">
        <f ca="1">H43</f>
        <v>38390.164399999994</v>
      </c>
      <c r="I53" s="109">
        <f ca="1">H53-G53</f>
        <v>279.64316922143917</v>
      </c>
      <c r="J53" s="133">
        <f ca="1">IF(G53=0,IF(I53=0,0,-1),I53/ABS(G53))</f>
        <v>7.3376894408779614E-3</v>
      </c>
      <c r="K53" s="131">
        <f ca="1">K43</f>
        <v>62421.396182436431</v>
      </c>
      <c r="L53" s="132">
        <f ca="1">L43</f>
        <v>66277.884399999995</v>
      </c>
      <c r="M53" s="109">
        <f ca="1">L53-K53</f>
        <v>3856.4882175635648</v>
      </c>
      <c r="N53" s="133">
        <f ca="1">IF(K53=0,IF(M53=0,0,-1),M53/ABS(K53))</f>
        <v>6.1781511683788141E-2</v>
      </c>
    </row>
    <row r="54" spans="1:14" ht="15" customHeight="1" x14ac:dyDescent="0.35">
      <c r="A54" s="162" t="s">
        <v>68</v>
      </c>
      <c r="C54" s="131"/>
      <c r="D54" s="132"/>
      <c r="F54" s="133"/>
      <c r="G54" s="131"/>
      <c r="H54" s="132"/>
      <c r="J54" s="133"/>
      <c r="K54" s="131"/>
      <c r="L54" s="132"/>
      <c r="M54" s="109"/>
      <c r="N54" s="133"/>
    </row>
    <row r="55" spans="1:14" ht="15" customHeight="1" x14ac:dyDescent="0.3">
      <c r="A55" s="106" t="s">
        <v>66</v>
      </c>
      <c r="C55" s="131">
        <f ca="1">C38</f>
        <v>16000</v>
      </c>
      <c r="D55" s="132">
        <f ca="1">D38</f>
        <v>16000</v>
      </c>
      <c r="E55" s="109">
        <f ca="1">D55-C55</f>
        <v>0</v>
      </c>
      <c r="F55" s="133">
        <f ca="1">IF(C55=0,IF(E55=0,0,-1),E55/ABS(C55))</f>
        <v>0</v>
      </c>
      <c r="G55" s="131">
        <f ca="1">G38</f>
        <v>46000</v>
      </c>
      <c r="H55" s="132">
        <f ca="1">H38</f>
        <v>46000</v>
      </c>
      <c r="I55" s="109">
        <f ca="1">H55-G55</f>
        <v>0</v>
      </c>
      <c r="J55" s="133">
        <f ca="1">IF(G55=0,IF(I55=0,0,-1),I55/ABS(G55))</f>
        <v>0</v>
      </c>
      <c r="K55" s="131">
        <f ca="1">K38</f>
        <v>87666</v>
      </c>
      <c r="L55" s="132">
        <f ca="1">L38</f>
        <v>87666</v>
      </c>
      <c r="M55" s="109">
        <f ca="1">L55-K55</f>
        <v>0</v>
      </c>
      <c r="N55" s="133">
        <f ca="1">IF(K55=0,IF(M55=0,0,-1),M55/ABS(K55))</f>
        <v>0</v>
      </c>
    </row>
    <row r="56" spans="1:14" s="128" customFormat="1" ht="15" customHeight="1" x14ac:dyDescent="0.35">
      <c r="A56" s="122" t="s">
        <v>69</v>
      </c>
      <c r="B56" s="123"/>
      <c r="C56" s="134"/>
      <c r="D56" s="135"/>
      <c r="E56" s="135"/>
      <c r="F56" s="136"/>
      <c r="G56" s="134"/>
      <c r="H56" s="135"/>
      <c r="I56" s="135"/>
      <c r="J56" s="136"/>
      <c r="K56" s="134"/>
      <c r="L56" s="135"/>
      <c r="M56" s="135"/>
      <c r="N56" s="136"/>
    </row>
    <row r="57" spans="1:14" ht="15" customHeight="1" x14ac:dyDescent="0.3">
      <c r="A57" s="129" t="s">
        <v>28</v>
      </c>
      <c r="C57" s="146">
        <f ca="1">IF(ISNA(MATCH(Report!$M$1,Months,0))=TRUE,0,OFFSET(Forecast!$B$60,0,MATCH(Report!$M$1,Months,0),1,1))</f>
        <v>-379.64285714286962</v>
      </c>
      <c r="D57" s="147">
        <f ca="1">IF(ISNA(MATCH(Report!$M$1,Months,0))=TRUE,0,OFFSET(Actual!$B$60,0,MATCH(Report!$M$1,Months,0),1,1))</f>
        <v>-2780</v>
      </c>
      <c r="E57" s="132">
        <f ca="1">D57-C57</f>
        <v>-2400.3571428571304</v>
      </c>
      <c r="F57" s="133">
        <f t="shared" ref="F57:F63" ca="1" si="6">IF(C57=0,IF(E57=0,0,-1),E57/ABS(C57))</f>
        <v>-6.322671683913212</v>
      </c>
      <c r="G57" s="146">
        <f ca="1">IF(ISNA(MATCH(Report!$M$1,Months,0))=TRUE,0,SUM(OFFSET(Forecast!$B$60,0,MATCH(Report!$M$1,Months,0),1,-$M$2+$I$2)))</f>
        <v>-13954.64285714287</v>
      </c>
      <c r="H57" s="147">
        <f ca="1">IF(ISNA(MATCH(Report!$M$1,Months,0))=TRUE,0,SUM(OFFSET(Actual!$B$60,0,MATCH(Report!$M$1,Months,0),1,-$M$2+$I$2)))</f>
        <v>-17700</v>
      </c>
      <c r="I57" s="132">
        <f ca="1">H57-G57</f>
        <v>-3745.3571428571304</v>
      </c>
      <c r="J57" s="133">
        <f t="shared" ref="J57:J63" ca="1" si="7">IF(G57=0,IF(I57=0,0,-1),I57/ABS(G57))</f>
        <v>-0.26839505540910491</v>
      </c>
      <c r="K57" s="146">
        <f ca="1">IF(ISNA(MATCH(Report!$M$1,Months,0))=TRUE,0,SUM(OFFSET(Forecast!$B$60,0,MATCH(Report!$M$1,Months,0),1,-$M$2)))</f>
        <v>-55214.64285714287</v>
      </c>
      <c r="L57" s="147">
        <f ca="1">IF(ISNA(MATCH(Report!$M$1,Months,0))=TRUE,0,SUM(OFFSET(Actual!$B$60,0,MATCH(Report!$M$1,Months,0),1,-$M$2)))</f>
        <v>-58400</v>
      </c>
      <c r="M57" s="132">
        <f ca="1">L57-K57</f>
        <v>-3185.3571428571304</v>
      </c>
      <c r="N57" s="133">
        <f t="shared" ref="N57:N63" ca="1" si="8">IF(K57=0,IF(M57=0,0,-1),M57/ABS(K57))</f>
        <v>-5.7690441847077077E-2</v>
      </c>
    </row>
    <row r="58" spans="1:14" ht="15" customHeight="1" x14ac:dyDescent="0.3">
      <c r="A58" s="129" t="s">
        <v>84</v>
      </c>
      <c r="C58" s="146">
        <f ca="1">IF(ISNA(MATCH(Report!$M$1,Months,0))=TRUE,0,OFFSET(Forecast!$B$61,0,MATCH(Report!$M$1,Months,0),1,1))</f>
        <v>-3250</v>
      </c>
      <c r="D58" s="147">
        <f ca="1">IF(ISNA(MATCH(Report!$M$1,Months,0))=TRUE,0,OFFSET(Actual!$B$61,0,MATCH(Report!$M$1,Months,0),1,1))</f>
        <v>-6100</v>
      </c>
      <c r="E58" s="132">
        <f ca="1">D58-C58</f>
        <v>-2850</v>
      </c>
      <c r="F58" s="133">
        <f t="shared" ca="1" si="6"/>
        <v>-0.87692307692307692</v>
      </c>
      <c r="G58" s="146">
        <f ca="1">IF(ISNA(MATCH(Report!$M$1,Months,0))=TRUE,0,SUM(OFFSET(Forecast!$B$61,0,MATCH(Report!$M$1,Months,0),1,-$M$2+$I$2)))</f>
        <v>-34071.42857142858</v>
      </c>
      <c r="H58" s="147">
        <f ca="1">IF(ISNA(MATCH(Report!$M$1,Months,0))=TRUE,0,SUM(OFFSET(Actual!$B$61,0,MATCH(Report!$M$1,Months,0),1,-$M$2+$I$2)))</f>
        <v>-39700</v>
      </c>
      <c r="I58" s="132">
        <f ca="1">H58-G58</f>
        <v>-5628.5714285714203</v>
      </c>
      <c r="J58" s="133">
        <f t="shared" ca="1" si="7"/>
        <v>-0.16519916142557622</v>
      </c>
      <c r="K58" s="146">
        <f ca="1">IF(ISNA(MATCH(Report!$M$1,Months,0))=TRUE,0,SUM(OFFSET(Forecast!$B$61,0,MATCH(Report!$M$1,Months,0),1,-$M$2)))</f>
        <v>-127500</v>
      </c>
      <c r="L58" s="147">
        <f ca="1">IF(ISNA(MATCH(Report!$M$1,Months,0))=TRUE,0,SUM(OFFSET(Actual!$B$61,0,MATCH(Report!$M$1,Months,0),1,-$M$2)))</f>
        <v>-136100</v>
      </c>
      <c r="M58" s="132">
        <f ca="1">L58-K58</f>
        <v>-8600</v>
      </c>
      <c r="N58" s="133">
        <f t="shared" ca="1" si="8"/>
        <v>-6.7450980392156856E-2</v>
      </c>
    </row>
    <row r="59" spans="1:14" ht="15" customHeight="1" x14ac:dyDescent="0.3">
      <c r="A59" s="129" t="s">
        <v>85</v>
      </c>
      <c r="C59" s="146">
        <f ca="1">IF(ISNA(MATCH(Report!$M$1,Months,0))=TRUE,0,OFFSET(Forecast!$B$62,0,MATCH(Report!$M$1,Months,0),1,1))</f>
        <v>7287.5</v>
      </c>
      <c r="D59" s="147">
        <f ca="1">IF(ISNA(MATCH(Report!$M$1,Months,0))=TRUE,0,OFFSET(Actual!$B$62,0,MATCH(Report!$M$1,Months,0),1,1))</f>
        <v>6500</v>
      </c>
      <c r="E59" s="132">
        <f ca="1">D59-C59</f>
        <v>-787.5</v>
      </c>
      <c r="F59" s="133">
        <f t="shared" ca="1" si="6"/>
        <v>-0.10806174957118353</v>
      </c>
      <c r="G59" s="146">
        <f ca="1">IF(ISNA(MATCH(Report!$M$1,Months,0))=TRUE,0,SUM(OFFSET(Forecast!$B$62,0,MATCH(Report!$M$1,Months,0),1,-$M$2+$I$2)))</f>
        <v>1989.7857142857392</v>
      </c>
      <c r="H59" s="147">
        <f ca="1">IF(ISNA(MATCH(Report!$M$1,Months,0))=TRUE,0,SUM(OFFSET(Actual!$B$62,0,MATCH(Report!$M$1,Months,0),1,-$M$2+$I$2)))</f>
        <v>15600</v>
      </c>
      <c r="I59" s="132">
        <f ca="1">H59-G59</f>
        <v>13610.214285714261</v>
      </c>
      <c r="J59" s="133">
        <f t="shared" ca="1" si="7"/>
        <v>6.8400402053342884</v>
      </c>
      <c r="K59" s="146">
        <f ca="1">IF(ISNA(MATCH(Report!$M$1,Months,0))=TRUE,0,SUM(OFFSET(Forecast!$B$62,0,MATCH(Report!$M$1,Months,0),1,-$M$2)))</f>
        <v>44044.64285714287</v>
      </c>
      <c r="L59" s="147">
        <f ca="1">IF(ISNA(MATCH(Report!$M$1,Months,0))=TRUE,0,SUM(OFFSET(Actual!$B$62,0,MATCH(Report!$M$1,Months,0),1,-$M$2)))</f>
        <v>53700</v>
      </c>
      <c r="M59" s="132">
        <f ca="1">L59-K59</f>
        <v>9655.3571428571304</v>
      </c>
      <c r="N59" s="133">
        <f t="shared" ca="1" si="8"/>
        <v>0.21921751469693865</v>
      </c>
    </row>
    <row r="60" spans="1:14" s="162" customFormat="1" ht="15" customHeight="1" x14ac:dyDescent="0.35">
      <c r="A60" s="163" t="s">
        <v>70</v>
      </c>
      <c r="B60" s="164"/>
      <c r="C60" s="165">
        <f ca="1">SUM(C51:C59)</f>
        <v>10140.35714285713</v>
      </c>
      <c r="D60" s="166">
        <f ca="1">SUM(D51:D59)</f>
        <v>5633</v>
      </c>
      <c r="E60" s="167">
        <f ca="1">SUM(E51:E59)</f>
        <v>-4507.3571428571304</v>
      </c>
      <c r="F60" s="168">
        <f t="shared" ca="1" si="6"/>
        <v>-0.44449688303455009</v>
      </c>
      <c r="G60" s="165">
        <f ca="1">SUM(G51:G59)</f>
        <v>166046.71428571429</v>
      </c>
      <c r="H60" s="166">
        <f ca="1">SUM(H51:H59)</f>
        <v>165837.7300000001</v>
      </c>
      <c r="I60" s="167">
        <f ca="1">SUM(I51:I59)</f>
        <v>-208.98428571419208</v>
      </c>
      <c r="J60" s="168">
        <f t="shared" ca="1" si="7"/>
        <v>-1.2585872994427081E-3</v>
      </c>
      <c r="K60" s="165">
        <f ca="1">SUM(K51:K59)</f>
        <v>230409.50000000003</v>
      </c>
      <c r="L60" s="166">
        <f ca="1">SUM(L51:L59)</f>
        <v>232522.72999999998</v>
      </c>
      <c r="M60" s="167">
        <f ca="1">SUM(M51:M59)</f>
        <v>2113.2300000000032</v>
      </c>
      <c r="N60" s="168">
        <f t="shared" ca="1" si="8"/>
        <v>9.1716270379476675E-3</v>
      </c>
    </row>
    <row r="61" spans="1:14" ht="15" customHeight="1" x14ac:dyDescent="0.3">
      <c r="A61" s="129" t="s">
        <v>71</v>
      </c>
      <c r="C61" s="146">
        <f ca="1">-C52</f>
        <v>0</v>
      </c>
      <c r="D61" s="147">
        <f ca="1">-D52</f>
        <v>0</v>
      </c>
      <c r="E61" s="132">
        <f ca="1">D61-C61</f>
        <v>0</v>
      </c>
      <c r="F61" s="133">
        <f t="shared" ca="1" si="6"/>
        <v>0</v>
      </c>
      <c r="G61" s="146">
        <f ca="1">-G52</f>
        <v>-29973.99560436231</v>
      </c>
      <c r="H61" s="147">
        <f ca="1">-H52</f>
        <v>-24530</v>
      </c>
      <c r="I61" s="132">
        <f ca="1">H61-G61</f>
        <v>5443.9956043623097</v>
      </c>
      <c r="J61" s="133">
        <f t="shared" ca="1" si="7"/>
        <v>0.18162395418413985</v>
      </c>
      <c r="K61" s="146">
        <f ca="1">-K52</f>
        <v>-58479.942205584201</v>
      </c>
      <c r="L61" s="147">
        <f ca="1">-L52</f>
        <v>-48950</v>
      </c>
      <c r="M61" s="132">
        <f ca="1">L61-K61</f>
        <v>9529.9422055842006</v>
      </c>
      <c r="N61" s="133">
        <f t="shared" ca="1" si="8"/>
        <v>0.16296086908023985</v>
      </c>
    </row>
    <row r="62" spans="1:14" ht="15" customHeight="1" x14ac:dyDescent="0.3">
      <c r="A62" s="129" t="s">
        <v>72</v>
      </c>
      <c r="C62" s="146">
        <f ca="1">IF(ISNA(MATCH(Report!$M$1,Months,0))=TRUE,0,OFFSET(Forecast!$B$65,0,MATCH(Report!$M$1,Months,0),1,1))</f>
        <v>-62421.396182436431</v>
      </c>
      <c r="D62" s="147">
        <f ca="1">IF(ISNA(MATCH(Report!$M$1,Months,0))=TRUE,0,OFFSET(Actual!$B$65,0,MATCH(Report!$M$1,Months,0),1,1))</f>
        <v>-66277.884399999995</v>
      </c>
      <c r="E62" s="132">
        <f ca="1">D62-C62</f>
        <v>-3856.4882175635648</v>
      </c>
      <c r="F62" s="133">
        <f t="shared" ca="1" si="6"/>
        <v>-6.1781511683788141E-2</v>
      </c>
      <c r="G62" s="146">
        <f ca="1">IF(ISNA(MATCH(Report!$M$1,Months,0))=TRUE,0,SUM(OFFSET(Forecast!$B$65,0,MATCH(Report!$M$1,Months,0),1,-$M$2+$I$2)))</f>
        <v>-62421.396182436431</v>
      </c>
      <c r="H62" s="147">
        <f ca="1">IF(ISNA(MATCH(Report!$M$1,Months,0))=TRUE,0,SUM(OFFSET(Actual!$B$65,0,MATCH(Report!$M$1,Months,0),1,-$M$2+$I$2)))</f>
        <v>-66277.884399999995</v>
      </c>
      <c r="I62" s="132">
        <f ca="1">H62-G62</f>
        <v>-3856.4882175635648</v>
      </c>
      <c r="J62" s="133">
        <f t="shared" ca="1" si="7"/>
        <v>-6.1781511683788141E-2</v>
      </c>
      <c r="K62" s="146">
        <f ca="1">IF(ISNA(MATCH(Report!$M$1,Months,0))=TRUE,0,SUM(OFFSET(Forecast!$B$65,0,MATCH(Report!$M$1,Months,0),1,-$M$2)))</f>
        <v>-62421.396182436431</v>
      </c>
      <c r="L62" s="147">
        <f ca="1">IF(ISNA(MATCH(Report!$M$1,Months,0))=TRUE,0,SUM(OFFSET(Actual!$B$65,0,MATCH(Report!$M$1,Months,0),1,-$M$2)))</f>
        <v>-66277.884399999995</v>
      </c>
      <c r="M62" s="132">
        <f ca="1">L62-K62</f>
        <v>-3856.4882175635648</v>
      </c>
      <c r="N62" s="133">
        <f t="shared" ca="1" si="8"/>
        <v>-6.1781511683788141E-2</v>
      </c>
    </row>
    <row r="63" spans="1:14" s="162" customFormat="1" ht="15" customHeight="1" x14ac:dyDescent="0.35">
      <c r="A63" s="163" t="s">
        <v>73</v>
      </c>
      <c r="B63" s="164"/>
      <c r="C63" s="169">
        <f ca="1">SUM(C60:C62)</f>
        <v>-52281.0390395793</v>
      </c>
      <c r="D63" s="170">
        <f t="shared" ref="D63:M63" ca="1" si="9">SUM(D60:D62)</f>
        <v>-60644.884399999995</v>
      </c>
      <c r="E63" s="171">
        <f t="shared" ca="1" si="9"/>
        <v>-8363.8453604206952</v>
      </c>
      <c r="F63" s="172">
        <f t="shared" ca="1" si="6"/>
        <v>-0.15997856037422775</v>
      </c>
      <c r="G63" s="169">
        <f ca="1">SUM(G60:G62)</f>
        <v>73651.322498915542</v>
      </c>
      <c r="H63" s="170">
        <f ca="1">SUM(H60:H62)</f>
        <v>75029.845600000102</v>
      </c>
      <c r="I63" s="171">
        <f ca="1">SUM(I60:I62)</f>
        <v>1378.5231010845528</v>
      </c>
      <c r="J63" s="172">
        <f t="shared" ca="1" si="7"/>
        <v>1.8716881846960052E-2</v>
      </c>
      <c r="K63" s="169">
        <f t="shared" ca="1" si="9"/>
        <v>109508.16161197939</v>
      </c>
      <c r="L63" s="170">
        <f t="shared" ca="1" si="9"/>
        <v>117294.84559999999</v>
      </c>
      <c r="M63" s="171">
        <f t="shared" ca="1" si="9"/>
        <v>7786.6839880206389</v>
      </c>
      <c r="N63" s="172">
        <f t="shared" ca="1" si="8"/>
        <v>7.1105969394420307E-2</v>
      </c>
    </row>
    <row r="64" spans="1:14" ht="15" customHeight="1" x14ac:dyDescent="0.3">
      <c r="C64" s="146"/>
      <c r="D64" s="147"/>
      <c r="E64" s="132"/>
      <c r="F64" s="133"/>
      <c r="G64" s="146"/>
      <c r="H64" s="147"/>
      <c r="I64" s="132"/>
      <c r="J64" s="133"/>
      <c r="K64" s="146"/>
      <c r="L64" s="147"/>
      <c r="M64" s="132"/>
      <c r="N64" s="133"/>
    </row>
    <row r="65" spans="1:14" s="128" customFormat="1" ht="15" customHeight="1" x14ac:dyDescent="0.35">
      <c r="A65" s="122" t="s">
        <v>74</v>
      </c>
      <c r="B65" s="123"/>
      <c r="C65" s="173"/>
      <c r="D65" s="174"/>
      <c r="E65" s="135"/>
      <c r="F65" s="136"/>
      <c r="G65" s="173"/>
      <c r="H65" s="174"/>
      <c r="I65" s="135"/>
      <c r="J65" s="136"/>
      <c r="K65" s="173"/>
      <c r="L65" s="174"/>
      <c r="M65" s="135"/>
      <c r="N65" s="136"/>
    </row>
    <row r="66" spans="1:14" ht="15" customHeight="1" x14ac:dyDescent="0.3">
      <c r="A66" s="161" t="s">
        <v>75</v>
      </c>
      <c r="C66" s="131">
        <f ca="1">IF(ISNA(MATCH(Report!$M$1,Months,0))=TRUE,0,OFFSET(Forecast!$B$69,0,MATCH(Report!$M$1,Months,0),1,1))</f>
        <v>0</v>
      </c>
      <c r="D66" s="132">
        <f ca="1">IF(ISNA(MATCH(Report!$M$1,Months,0))=TRUE,0,OFFSET(Actual!$B$69,0,MATCH(Report!$M$1,Months,0),1,1))</f>
        <v>0</v>
      </c>
      <c r="E66" s="132">
        <f ca="1">D66-C66</f>
        <v>0</v>
      </c>
      <c r="F66" s="133">
        <f ca="1">IF(C66=0,IF(E66=0,0,-1),E66/ABS(C66))</f>
        <v>0</v>
      </c>
      <c r="G66" s="131">
        <f ca="1">IF(ISNA(MATCH(Report!$M$1,Months,0))=TRUE,0,SUM(OFFSET(Forecast!$B$69,0,MATCH(Report!$M$1,Months,0),1,-$M$2+$I$2)))</f>
        <v>-60000</v>
      </c>
      <c r="H66" s="132">
        <f ca="1">IF(ISNA(MATCH(Report!$M$1,Months,0))=TRUE,0,SUM(OFFSET(Actual!$B$69,0,MATCH(Report!$M$1,Months,0),1,-$M$2+$I$2)))</f>
        <v>-70000</v>
      </c>
      <c r="I66" s="132">
        <f ca="1">H66-G66</f>
        <v>-10000</v>
      </c>
      <c r="J66" s="133">
        <f ca="1">IF(G66=0,IF(I66=0,0,-1),I66/ABS(G66))</f>
        <v>-0.16666666666666666</v>
      </c>
      <c r="K66" s="131">
        <f ca="1">IF(ISNA(MATCH(Report!$M$1,Months,0))=TRUE,0,SUM(OFFSET(Forecast!$B$69,0,MATCH(Report!$M$1,Months,0),1,-$M$2)))</f>
        <v>-160000</v>
      </c>
      <c r="L66" s="132">
        <f ca="1">IF(ISNA(MATCH(Report!$M$1,Months,0))=TRUE,0,SUM(OFFSET(Actual!$B$69,0,MATCH(Report!$M$1,Months,0),1,-$M$2)))</f>
        <v>-150000</v>
      </c>
      <c r="M66" s="132">
        <f ca="1">L66-K66</f>
        <v>10000</v>
      </c>
      <c r="N66" s="133">
        <f ca="1">IF(K66=0,IF(M66=0,0,-1),M66/ABS(K66))</f>
        <v>6.25E-2</v>
      </c>
    </row>
    <row r="67" spans="1:14" s="162" customFormat="1" ht="15" customHeight="1" x14ac:dyDescent="0.35">
      <c r="A67" s="163" t="s">
        <v>76</v>
      </c>
      <c r="B67" s="164"/>
      <c r="C67" s="169">
        <f ca="1">SUM(C66)</f>
        <v>0</v>
      </c>
      <c r="D67" s="170">
        <f ca="1">SUM(D66)</f>
        <v>0</v>
      </c>
      <c r="E67" s="171">
        <f ca="1">SUM(E66)</f>
        <v>0</v>
      </c>
      <c r="F67" s="172">
        <f ca="1">IF(C67=0,IF(E67=0,0,-1),E67/ABS(C67))</f>
        <v>0</v>
      </c>
      <c r="G67" s="169">
        <f ca="1">SUM(G66)</f>
        <v>-60000</v>
      </c>
      <c r="H67" s="170">
        <f ca="1">SUM(H66)</f>
        <v>-70000</v>
      </c>
      <c r="I67" s="171">
        <f ca="1">SUM(I66)</f>
        <v>-10000</v>
      </c>
      <c r="J67" s="172">
        <f ca="1">IF(G67=0,IF(I67=0,0,-1),I67/ABS(G67))</f>
        <v>-0.16666666666666666</v>
      </c>
      <c r="K67" s="169">
        <f ca="1">SUM(K66)</f>
        <v>-160000</v>
      </c>
      <c r="L67" s="170">
        <f ca="1">SUM(L66)</f>
        <v>-150000</v>
      </c>
      <c r="M67" s="171">
        <f ca="1">SUM(M66)</f>
        <v>10000</v>
      </c>
      <c r="N67" s="172">
        <f ca="1">IF(K67=0,IF(M67=0,0,-1),M67/ABS(K67))</f>
        <v>6.25E-2</v>
      </c>
    </row>
    <row r="68" spans="1:14" ht="15" customHeight="1" x14ac:dyDescent="0.3">
      <c r="C68" s="131"/>
      <c r="D68" s="132"/>
      <c r="F68" s="133"/>
      <c r="G68" s="131"/>
      <c r="H68" s="132"/>
      <c r="J68" s="133"/>
      <c r="K68" s="131"/>
      <c r="L68" s="132"/>
      <c r="M68" s="109"/>
      <c r="N68" s="133"/>
    </row>
    <row r="69" spans="1:14" s="177" customFormat="1" ht="15" customHeight="1" x14ac:dyDescent="0.35">
      <c r="A69" s="175" t="s">
        <v>77</v>
      </c>
      <c r="B69" s="176"/>
      <c r="C69" s="134"/>
      <c r="D69" s="135"/>
      <c r="E69" s="135"/>
      <c r="F69" s="136"/>
      <c r="G69" s="134"/>
      <c r="H69" s="135"/>
      <c r="I69" s="135"/>
      <c r="J69" s="136"/>
      <c r="K69" s="134"/>
      <c r="L69" s="135"/>
      <c r="M69" s="135"/>
      <c r="N69" s="136"/>
    </row>
    <row r="70" spans="1:14" ht="15" customHeight="1" x14ac:dyDescent="0.3">
      <c r="A70" s="129" t="s">
        <v>78</v>
      </c>
      <c r="C70" s="131">
        <f ca="1">IF(ISNA(MATCH(Report!$M$1,Months,0))=TRUE,0,OFFSET(Forecast!$B$73,0,MATCH(Report!$M$1,Months,0),1,1))</f>
        <v>0</v>
      </c>
      <c r="D70" s="132">
        <f ca="1">IF(ISNA(MATCH(Report!$M$1,Months,0))=TRUE,0,OFFSET(Actual!$B$73,0,MATCH(Report!$M$1,Months,0),1,1))</f>
        <v>0</v>
      </c>
      <c r="E70" s="132">
        <f ca="1">D70-C70</f>
        <v>0</v>
      </c>
      <c r="F70" s="133">
        <f ca="1">IF(C70=0,IF(E70=0,0,-1),E70/ABS(C70))</f>
        <v>0</v>
      </c>
      <c r="G70" s="131">
        <f ca="1">IF(ISNA(MATCH(Report!$M$1,Months,0))=TRUE,0,SUM(OFFSET(Forecast!$B$73,0,MATCH(Report!$M$1,Months,0),1,-$M$2+$I$2)))</f>
        <v>500</v>
      </c>
      <c r="H70" s="132">
        <f ca="1">IF(ISNA(MATCH(Report!$M$1,Months,0))=TRUE,0,SUM(OFFSET(Actual!$B$73,0,MATCH(Report!$M$1,Months,0),1,-$M$2+$I$2)))</f>
        <v>0</v>
      </c>
      <c r="I70" s="132">
        <f ca="1">H70-G70</f>
        <v>-500</v>
      </c>
      <c r="J70" s="133">
        <f ca="1">IF(G70=0,IF(I70=0,0,-1),I70/ABS(G70))</f>
        <v>-1</v>
      </c>
      <c r="K70" s="131">
        <f ca="1">IF(ISNA(MATCH(Report!$M$1,Months,0))=TRUE,0,SUM(OFFSET(Forecast!$B$73,0,MATCH(Report!$M$1,Months,0),1,-$M$2)))</f>
        <v>500</v>
      </c>
      <c r="L70" s="132">
        <f ca="1">IF(ISNA(MATCH(Report!$M$1,Months,0))=TRUE,0,SUM(OFFSET(Actual!$B$73,0,MATCH(Report!$M$1,Months,0),1,-$M$2)))</f>
        <v>0</v>
      </c>
      <c r="M70" s="132">
        <f ca="1">L70-K70</f>
        <v>-500</v>
      </c>
      <c r="N70" s="133">
        <f ca="1">IF(K70=0,IF(M70=0,0,-1),M70/ABS(K70))</f>
        <v>-1</v>
      </c>
    </row>
    <row r="71" spans="1:14" ht="15" customHeight="1" x14ac:dyDescent="0.3">
      <c r="A71" s="129" t="s">
        <v>79</v>
      </c>
      <c r="C71" s="131">
        <f ca="1">IF(ISNA(MATCH(Report!$M$1,Months,0))=TRUE,0,OFFSET(Forecast!$B$74,0,MATCH(Report!$M$1,Months,0),1,1))</f>
        <v>0</v>
      </c>
      <c r="D71" s="132">
        <f ca="1">IF(ISNA(MATCH(Report!$M$1,Months,0))=TRUE,0,OFFSET(Actual!$B$74,0,MATCH(Report!$M$1,Months,0),1,1))</f>
        <v>0</v>
      </c>
      <c r="E71" s="132">
        <f ca="1">D71-C71</f>
        <v>0</v>
      </c>
      <c r="F71" s="133">
        <f ca="1">IF(C71=0,IF(E71=0,0,-1),E71/ABS(C71))</f>
        <v>0</v>
      </c>
      <c r="G71" s="131">
        <f ca="1">IF(ISNA(MATCH(Report!$M$1,Months,0))=TRUE,0,SUM(OFFSET(Forecast!$B$74,0,MATCH(Report!$M$1,Months,0),1,-$M$2+$I$2)))</f>
        <v>0</v>
      </c>
      <c r="H71" s="132">
        <f ca="1">IF(ISNA(MATCH(Report!$M$1,Months,0))=TRUE,0,SUM(OFFSET(Actual!$B$74,0,MATCH(Report!$M$1,Months,0),1,-$M$2+$I$2)))</f>
        <v>0</v>
      </c>
      <c r="I71" s="132">
        <f ca="1">H71-G71</f>
        <v>0</v>
      </c>
      <c r="J71" s="133">
        <f ca="1">IF(G71=0,IF(I71=0,0,-1),I71/ABS(G71))</f>
        <v>0</v>
      </c>
      <c r="K71" s="131">
        <f ca="1">IF(ISNA(MATCH(Report!$M$1,Months,0))=TRUE,0,SUM(OFFSET(Forecast!$B$74,0,MATCH(Report!$M$1,Months,0),1,-$M$2)))</f>
        <v>100000</v>
      </c>
      <c r="L71" s="132">
        <f ca="1">IF(ISNA(MATCH(Report!$M$1,Months,0))=TRUE,0,SUM(OFFSET(Actual!$B$74,0,MATCH(Report!$M$1,Months,0),1,-$M$2)))</f>
        <v>50000</v>
      </c>
      <c r="M71" s="132">
        <f ca="1">L71-K71</f>
        <v>-50000</v>
      </c>
      <c r="N71" s="133">
        <f ca="1">IF(K71=0,IF(M71=0,0,-1),M71/ABS(K71))</f>
        <v>-0.5</v>
      </c>
    </row>
    <row r="72" spans="1:14" ht="15" customHeight="1" x14ac:dyDescent="0.3">
      <c r="A72" s="129" t="s">
        <v>86</v>
      </c>
      <c r="C72" s="131">
        <f ca="1">IF(ISNA(MATCH(Report!$M$1,Months,0))=TRUE,0,OFFSET(Forecast!$B$75,0,MATCH(Report!$M$1,Months,0),1,1))</f>
        <v>0</v>
      </c>
      <c r="D72" s="132">
        <f ca="1">IF(ISNA(MATCH(Report!$M$1,Months,0))=TRUE,0,OFFSET(Actual!$B$75,0,MATCH(Report!$M$1,Months,0),1,1))</f>
        <v>0</v>
      </c>
      <c r="E72" s="132">
        <f ca="1">D72-C72</f>
        <v>0</v>
      </c>
      <c r="F72" s="133">
        <f ca="1">IF(C72=0,IF(E72=0,0,-1),E72/ABS(C72))</f>
        <v>0</v>
      </c>
      <c r="G72" s="131">
        <f ca="1">IF(ISNA(MATCH(Report!$M$1,Months,0))=TRUE,0,SUM(OFFSET(Forecast!$B$75,0,MATCH(Report!$M$1,Months,0),1,-$M$2+$I$2)))</f>
        <v>-47404.045756860542</v>
      </c>
      <c r="H72" s="132">
        <f ca="1">IF(ISNA(MATCH(Report!$M$1,Months,0))=TRUE,0,SUM(OFFSET(Actual!$B$75,0,MATCH(Report!$M$1,Months,0),1,-$M$2+$I$2)))</f>
        <v>-47084</v>
      </c>
      <c r="I72" s="132">
        <f ca="1">H72-G72</f>
        <v>320.04575686054159</v>
      </c>
      <c r="J72" s="133">
        <f ca="1">IF(G72=0,IF(I72=0,0,-1),I72/ABS(G72))</f>
        <v>6.751443927425182E-3</v>
      </c>
      <c r="K72" s="131">
        <f ca="1">IF(ISNA(MATCH(Report!$M$1,Months,0))=TRUE,0,SUM(OFFSET(Forecast!$B$75,0,MATCH(Report!$M$1,Months,0),1,-$M$2)))</f>
        <v>-89827.970403426283</v>
      </c>
      <c r="L72" s="132">
        <f ca="1">IF(ISNA(MATCH(Report!$M$1,Months,0))=TRUE,0,SUM(OFFSET(Actual!$B$75,0,MATCH(Report!$M$1,Months,0),1,-$M$2)))</f>
        <v>-91166</v>
      </c>
      <c r="M72" s="132">
        <f ca="1">L72-K72</f>
        <v>-1338.0295965737168</v>
      </c>
      <c r="N72" s="133">
        <f ca="1">IF(K72=0,IF(M72=0,0,-1),M72/ABS(K72))</f>
        <v>-1.4895467308951698E-2</v>
      </c>
    </row>
    <row r="73" spans="1:14" s="162" customFormat="1" ht="15" customHeight="1" x14ac:dyDescent="0.35">
      <c r="A73" s="178" t="s">
        <v>80</v>
      </c>
      <c r="B73" s="164"/>
      <c r="C73" s="179">
        <f ca="1">SUM(C70:C72)</f>
        <v>0</v>
      </c>
      <c r="D73" s="171">
        <f ca="1">SUM(D70:D72)</f>
        <v>0</v>
      </c>
      <c r="E73" s="171">
        <f ca="1">SUM(E70:E72)</f>
        <v>0</v>
      </c>
      <c r="F73" s="172">
        <f ca="1">IF(C73=0,IF(E73=0,0,-1),E73/ABS(C73))</f>
        <v>0</v>
      </c>
      <c r="G73" s="179">
        <f ca="1">SUM(G70:G72)</f>
        <v>-46904.045756860542</v>
      </c>
      <c r="H73" s="171">
        <f ca="1">SUM(H70:H72)</f>
        <v>-47084</v>
      </c>
      <c r="I73" s="171">
        <f ca="1">SUM(I70:I72)</f>
        <v>-179.95424313945841</v>
      </c>
      <c r="J73" s="172">
        <f ca="1">IF(G73=0,IF(I73=0,0,-1),I73/ABS(G73))</f>
        <v>-3.8366465032099485E-3</v>
      </c>
      <c r="K73" s="179">
        <f ca="1">SUM(K70:K72)</f>
        <v>10672.029596573717</v>
      </c>
      <c r="L73" s="171">
        <f ca="1">SUM(L70:L72)</f>
        <v>-41166</v>
      </c>
      <c r="M73" s="171">
        <f ca="1">SUM(M70:M72)</f>
        <v>-51838.029596573717</v>
      </c>
      <c r="N73" s="172">
        <f ca="1">IF(K73=0,IF(M73=0,0,-1),M73/ABS(K73))</f>
        <v>-4.8573731104734241</v>
      </c>
    </row>
    <row r="74" spans="1:14" ht="15" customHeight="1" x14ac:dyDescent="0.3">
      <c r="C74" s="131"/>
      <c r="D74" s="132"/>
      <c r="F74" s="133"/>
      <c r="G74" s="131"/>
      <c r="H74" s="132"/>
      <c r="J74" s="133"/>
      <c r="K74" s="131"/>
      <c r="L74" s="132"/>
      <c r="M74" s="109"/>
      <c r="N74" s="133"/>
    </row>
    <row r="75" spans="1:14" ht="15" customHeight="1" x14ac:dyDescent="0.3">
      <c r="A75" s="129" t="s">
        <v>81</v>
      </c>
      <c r="B75" s="180"/>
      <c r="C75" s="131">
        <f ca="1">SUM(C63,C67,C73)</f>
        <v>-52281.0390395793</v>
      </c>
      <c r="D75" s="132">
        <f ca="1">SUM(D63,D67,D73)</f>
        <v>-60644.884399999995</v>
      </c>
      <c r="E75" s="132">
        <f ca="1">SUM(E63,E67,E73)</f>
        <v>-8363.8453604206952</v>
      </c>
      <c r="F75" s="133">
        <f ca="1">IF(C75=0,IF(E75=0,0,-1),E75/ABS(C75))</f>
        <v>-0.15997856037422775</v>
      </c>
      <c r="G75" s="131">
        <f ca="1">SUM(G63,G67,G73)</f>
        <v>-33252.723257944999</v>
      </c>
      <c r="H75" s="132">
        <f ca="1">SUM(H63,H67,H73)</f>
        <v>-42054.154399999898</v>
      </c>
      <c r="I75" s="132">
        <f ca="1">SUM(I63,I67,I73)</f>
        <v>-8801.4311420549056</v>
      </c>
      <c r="J75" s="133">
        <f ca="1">IF(G75=0,IF(I75=0,0,-1),I75/ABS(G75))</f>
        <v>-0.26468301780221865</v>
      </c>
      <c r="K75" s="131">
        <f ca="1">SUM(K63,K67,K73)</f>
        <v>-39819.808791446892</v>
      </c>
      <c r="L75" s="132">
        <f ca="1">SUM(L63,L67,L73)</f>
        <v>-73871.154400000014</v>
      </c>
      <c r="M75" s="132">
        <f ca="1">SUM(M63,M67,M73)</f>
        <v>-34051.345608553078</v>
      </c>
      <c r="N75" s="133">
        <f ca="1">IF(K75=0,IF(M75=0,0,-1),M75/ABS(K75))</f>
        <v>-0.85513583922249137</v>
      </c>
    </row>
    <row r="76" spans="1:14" ht="15" customHeight="1" x14ac:dyDescent="0.3">
      <c r="C76" s="131"/>
      <c r="D76" s="132"/>
      <c r="F76" s="133"/>
      <c r="G76" s="131"/>
      <c r="H76" s="132"/>
      <c r="J76" s="133"/>
      <c r="K76" s="131"/>
      <c r="L76" s="132"/>
      <c r="M76" s="109"/>
      <c r="N76" s="133"/>
    </row>
    <row r="77" spans="1:14" ht="15" customHeight="1" x14ac:dyDescent="0.3">
      <c r="A77" s="129" t="s">
        <v>82</v>
      </c>
      <c r="C77" s="131">
        <f ca="1">IF(ISNA(MATCH(Report!$M$1,Months,0))=TRUE,0,OFFSET(Forecast!$B$80,0,MATCH(Report!$M$1,Months,0),1,1))</f>
        <v>33461.230248132386</v>
      </c>
      <c r="D77" s="132">
        <f ca="1">IF(ISNA(MATCH(Report!$M$1,Months,0))=TRUE,0,OFFSET(Actual!$B$80,0,MATCH(Report!$M$1,Months,0),1,1))</f>
        <v>7773.7300000000032</v>
      </c>
      <c r="E77" s="109">
        <f ca="1">D77-C77</f>
        <v>-25687.500248132383</v>
      </c>
      <c r="F77" s="133">
        <f ca="1">IF(C77=0,IF(E77=0,0,-1),E77/ABS(C77))</f>
        <v>-0.76767949228543719</v>
      </c>
      <c r="G77" s="132">
        <f ca="1">IF(ISNA(MATCH(Report!$M$1,Months,0))=TRUE,0,SUM(OFFSET(Forecast!$B$80,0,1+$I$2,1,1)))</f>
        <v>14432.914466498078</v>
      </c>
      <c r="H77" s="132">
        <f ca="1">IF(ISNA(MATCH(Report!$M$1,Months,0))=TRUE,0,SUM(OFFSET(Actual!$B$80,0,1+$I$2,1,1)))</f>
        <v>-10817</v>
      </c>
      <c r="I77" s="109">
        <f ca="1">H77-G77</f>
        <v>-25249.914466498078</v>
      </c>
      <c r="J77" s="133">
        <f ca="1">IF(G77=0,IF(I77=0,0,-1),I77/ABS(G77))</f>
        <v>-1.7494674776261303</v>
      </c>
      <c r="K77" s="132">
        <f ca="1">IF(ISNA(MATCH(Report!$M$1,Months,0))=TRUE,0,SUM(OFFSET(Forecast!$B$80,0,1,1,1)))</f>
        <v>21000</v>
      </c>
      <c r="L77" s="132">
        <f ca="1">IF(ISNA(MATCH(Report!$M$1,Months,0))=TRUE,0,SUM(OFFSET(Actual!$B$80,0,1,1,1)))</f>
        <v>21000</v>
      </c>
      <c r="M77" s="109">
        <f ca="1">L77-K77</f>
        <v>0</v>
      </c>
      <c r="N77" s="133">
        <f ca="1">IF(K77=0,IF(M77=0,0,-1),M77/ABS(K77))</f>
        <v>0</v>
      </c>
    </row>
    <row r="78" spans="1:14" ht="15" customHeight="1" x14ac:dyDescent="0.3">
      <c r="C78" s="131"/>
      <c r="D78" s="132"/>
      <c r="F78" s="133"/>
      <c r="G78" s="131"/>
      <c r="H78" s="132"/>
      <c r="J78" s="133"/>
      <c r="K78" s="131"/>
      <c r="L78" s="132"/>
      <c r="M78" s="109"/>
      <c r="N78" s="133"/>
    </row>
    <row r="79" spans="1:14" s="128" customFormat="1" ht="15" customHeight="1" thickBot="1" x14ac:dyDescent="0.4">
      <c r="A79" s="122" t="s">
        <v>83</v>
      </c>
      <c r="B79" s="123"/>
      <c r="C79" s="181">
        <f ca="1">SUM(C75,C77)</f>
        <v>-18819.808791446914</v>
      </c>
      <c r="D79" s="182">
        <f ca="1">SUM(D75,D77)</f>
        <v>-52871.154399999992</v>
      </c>
      <c r="E79" s="182">
        <f ca="1">SUM(E75,E77)</f>
        <v>-34051.345608553078</v>
      </c>
      <c r="F79" s="183">
        <f ca="1">IF(C79=0,IF(E79=0,0,-1),E79/ABS(C79))</f>
        <v>-1.8093353649814168</v>
      </c>
      <c r="G79" s="181">
        <f ca="1">SUM(G75,G77)</f>
        <v>-18819.808791446922</v>
      </c>
      <c r="H79" s="182">
        <f ca="1">SUM(H75,H77)</f>
        <v>-52871.154399999898</v>
      </c>
      <c r="I79" s="182">
        <f ca="1">SUM(I75,I77)</f>
        <v>-34051.345608552983</v>
      </c>
      <c r="J79" s="183">
        <f ca="1">IF(G79=0,IF(I79=0,0,-1),I79/ABS(G79))</f>
        <v>-1.809335364981411</v>
      </c>
      <c r="K79" s="181">
        <f ca="1">SUM(K75,K77)</f>
        <v>-18819.808791446892</v>
      </c>
      <c r="L79" s="182">
        <f ca="1">SUM(L75,L77)</f>
        <v>-52871.154400000014</v>
      </c>
      <c r="M79" s="182">
        <f ca="1">SUM(M75,M77)</f>
        <v>-34051.345608553078</v>
      </c>
      <c r="N79" s="183">
        <f ca="1">IF(K79=0,IF(M79=0,0,-1),M79/ABS(K79))</f>
        <v>-1.8093353649814188</v>
      </c>
    </row>
    <row r="80" spans="1:14" s="184" customFormat="1" ht="15" customHeight="1" thickTop="1" x14ac:dyDescent="0.3">
      <c r="A80" s="151"/>
      <c r="B80" s="152"/>
      <c r="C80" s="132"/>
      <c r="D80" s="132"/>
      <c r="E80" s="132"/>
      <c r="F80" s="159"/>
      <c r="G80" s="132"/>
      <c r="H80" s="132"/>
      <c r="I80" s="132"/>
      <c r="J80" s="159"/>
      <c r="K80" s="132"/>
      <c r="L80" s="132"/>
      <c r="M80" s="132"/>
      <c r="N80" s="159"/>
    </row>
    <row r="81" spans="1:14" s="115" customFormat="1" ht="18" customHeight="1" x14ac:dyDescent="0.35">
      <c r="A81" s="160"/>
      <c r="B81" s="114"/>
      <c r="C81" s="215" t="str">
        <f ca="1">C48</f>
        <v>Week 26</v>
      </c>
      <c r="D81" s="216"/>
      <c r="E81" s="216"/>
      <c r="F81" s="217"/>
      <c r="G81" s="215" t="str">
        <f ca="1">"Quarter "&amp;$J$2</f>
        <v>Quarter 2</v>
      </c>
      <c r="H81" s="216"/>
      <c r="I81" s="216"/>
      <c r="J81" s="217"/>
      <c r="K81" s="218" t="s">
        <v>117</v>
      </c>
      <c r="L81" s="219"/>
      <c r="M81" s="219"/>
      <c r="N81" s="220"/>
    </row>
    <row r="82" spans="1:14" s="121" customFormat="1" ht="18" customHeight="1" x14ac:dyDescent="0.35">
      <c r="A82" s="213" t="s">
        <v>124</v>
      </c>
      <c r="B82" s="214"/>
      <c r="C82" s="116" t="s">
        <v>119</v>
      </c>
      <c r="D82" s="117" t="s">
        <v>120</v>
      </c>
      <c r="E82" s="117" t="s">
        <v>121</v>
      </c>
      <c r="F82" s="118" t="s">
        <v>122</v>
      </c>
      <c r="G82" s="119" t="s">
        <v>119</v>
      </c>
      <c r="H82" s="120" t="s">
        <v>120</v>
      </c>
      <c r="I82" s="117" t="s">
        <v>121</v>
      </c>
      <c r="J82" s="118" t="s">
        <v>122</v>
      </c>
      <c r="K82" s="119" t="s">
        <v>119</v>
      </c>
      <c r="L82" s="120" t="s">
        <v>120</v>
      </c>
      <c r="M82" s="117" t="s">
        <v>121</v>
      </c>
      <c r="N82" s="118" t="s">
        <v>122</v>
      </c>
    </row>
    <row r="83" spans="1:14" ht="15" customHeight="1" x14ac:dyDescent="0.35">
      <c r="A83" s="185" t="s">
        <v>35</v>
      </c>
      <c r="B83" s="104"/>
      <c r="C83" s="131"/>
      <c r="F83" s="133"/>
      <c r="G83" s="131"/>
      <c r="H83" s="109"/>
      <c r="J83" s="133"/>
      <c r="K83" s="131"/>
      <c r="L83" s="109"/>
      <c r="M83" s="109"/>
      <c r="N83" s="133"/>
    </row>
    <row r="84" spans="1:14" s="109" customFormat="1" ht="15" customHeight="1" x14ac:dyDescent="0.3">
      <c r="A84" s="161" t="s">
        <v>55</v>
      </c>
      <c r="B84" s="186"/>
      <c r="C84" s="131">
        <f ca="1">IF(ISNA(MATCH(Report!$M$1,Months,0))=TRUE,0,OFFSET(BS!$C$6,0,MATCH(Report!$M$1,Months,0),1,1))</f>
        <v>872334</v>
      </c>
      <c r="D84" s="132">
        <f ca="1">IF(ISNA(MATCH(Report!$M$1,Months,0))=TRUE,0,OFFSET(BS!$C$28,0,MATCH(Report!$M$1,Months,0),1,1))</f>
        <v>862334</v>
      </c>
      <c r="E84" s="109">
        <f ca="1">D84-C84</f>
        <v>-10000</v>
      </c>
      <c r="F84" s="133">
        <f ca="1">IF(C84=0,IF(E84=0,0,-1),E84/ABS(C84))</f>
        <v>-1.1463499072602926E-2</v>
      </c>
      <c r="G84" s="131">
        <f ca="1">IF(ISNA(MATCH(Report!$M$1,Months,0))=TRUE,0,OFFSET(BS!$C$6,0,MATCH(Report!$M$1,Months,0),1,1))</f>
        <v>872334</v>
      </c>
      <c r="H84" s="132">
        <f ca="1">IF(ISNA(MATCH(Report!$M$1,Months,0))=TRUE,0,OFFSET(BS!$C$28,0,MATCH(Report!$M$1,Months,0),1,1))</f>
        <v>862334</v>
      </c>
      <c r="I84" s="109">
        <f ca="1">H84-G84</f>
        <v>-10000</v>
      </c>
      <c r="J84" s="133">
        <f ca="1">IF(G84=0,IF(I84=0,0,-1),I84/ABS(G84))</f>
        <v>-1.1463499072602926E-2</v>
      </c>
      <c r="K84" s="131">
        <f ca="1">IF(ISNA(MATCH(Report!$M$1,Months,0))=TRUE,0,OFFSET(BS!$C$6,0,MATCH(Report!$M$1,Months,0),1,1))</f>
        <v>872334</v>
      </c>
      <c r="L84" s="132">
        <f ca="1">IF(ISNA(MATCH(Report!$M$1,Months,0))=TRUE,0,OFFSET(BS!$C$28,0,MATCH(Report!$M$1,Months,0),1,1))</f>
        <v>862334</v>
      </c>
      <c r="M84" s="109">
        <f ca="1">L84-K84</f>
        <v>-10000</v>
      </c>
      <c r="N84" s="133">
        <f ca="1">IF(K84=0,IF(M84=0,0,-1),M84/ABS(K84))</f>
        <v>-1.1463499072602926E-2</v>
      </c>
    </row>
    <row r="85" spans="1:14" s="109" customFormat="1" ht="15" customHeight="1" x14ac:dyDescent="0.35">
      <c r="A85" s="178" t="s">
        <v>36</v>
      </c>
      <c r="B85" s="186"/>
      <c r="C85" s="131"/>
      <c r="D85" s="132"/>
      <c r="F85" s="133"/>
      <c r="G85" s="131"/>
      <c r="H85" s="132"/>
      <c r="J85" s="133"/>
      <c r="K85" s="131"/>
      <c r="L85" s="132"/>
      <c r="N85" s="133"/>
    </row>
    <row r="86" spans="1:14" s="109" customFormat="1" ht="15" customHeight="1" x14ac:dyDescent="0.3">
      <c r="A86" s="161" t="s">
        <v>28</v>
      </c>
      <c r="B86" s="186"/>
      <c r="C86" s="131">
        <f ca="1">IF(ISNA(MATCH(Report!$M$1,Months,0))=TRUE,0,OFFSET(BS!$C$8,0,MATCH(Report!$M$1,Months,0),1,1))</f>
        <v>195214.64285714287</v>
      </c>
      <c r="D86" s="132">
        <f ca="1">IF(ISNA(MATCH(Report!$M$1,Months,0))=TRUE,0,OFFSET(BS!$C$30,0,MATCH(Report!$M$1,Months,0),1,1))</f>
        <v>198400</v>
      </c>
      <c r="E86" s="109">
        <f ca="1">D86-C86</f>
        <v>3185.3571428571304</v>
      </c>
      <c r="F86" s="133">
        <f ca="1">IF(C86=0,IF(E86=0,0,-1),E86/ABS(C86))</f>
        <v>1.6317203956816698E-2</v>
      </c>
      <c r="G86" s="131">
        <f ca="1">IF(ISNA(MATCH(Report!$M$1,Months,0))=TRUE,0,OFFSET(BS!$C$8,0,MATCH(Report!$M$1,Months,0),1,1))</f>
        <v>195214.64285714287</v>
      </c>
      <c r="H86" s="132">
        <f ca="1">IF(ISNA(MATCH(Report!$M$1,Months,0))=TRUE,0,OFFSET(BS!$C$30,0,MATCH(Report!$M$1,Months,0),1,1))</f>
        <v>198400</v>
      </c>
      <c r="I86" s="109">
        <f ca="1">H86-G86</f>
        <v>3185.3571428571304</v>
      </c>
      <c r="J86" s="133">
        <f ca="1">IF(G86=0,IF(I86=0,0,-1),I86/ABS(G86))</f>
        <v>1.6317203956816698E-2</v>
      </c>
      <c r="K86" s="131">
        <f ca="1">IF(ISNA(MATCH(Report!$M$1,Months,0))=TRUE,0,OFFSET(BS!$C$8,0,MATCH(Report!$M$1,Months,0),1,1))</f>
        <v>195214.64285714287</v>
      </c>
      <c r="L86" s="132">
        <f ca="1">IF(ISNA(MATCH(Report!$M$1,Months,0))=TRUE,0,OFFSET(BS!$C$30,0,MATCH(Report!$M$1,Months,0),1,1))</f>
        <v>198400</v>
      </c>
      <c r="M86" s="109">
        <f ca="1">L86-K86</f>
        <v>3185.3571428571304</v>
      </c>
      <c r="N86" s="133">
        <f ca="1">IF(K86=0,IF(M86=0,0,-1),M86/ABS(K86))</f>
        <v>1.6317203956816698E-2</v>
      </c>
    </row>
    <row r="87" spans="1:14" s="109" customFormat="1" ht="15" customHeight="1" x14ac:dyDescent="0.3">
      <c r="A87" s="161" t="s">
        <v>84</v>
      </c>
      <c r="B87" s="186"/>
      <c r="C87" s="131">
        <f ca="1">IF(ISNA(MATCH(Report!$M$1,Months,0))=TRUE,0,OFFSET(BS!$C$9,0,MATCH(Report!$M$1,Months,0),1,1))</f>
        <v>377500</v>
      </c>
      <c r="D87" s="132">
        <f ca="1">IF(ISNA(MATCH(Report!$M$1,Months,0))=TRUE,0,OFFSET(BS!$C$31,0,MATCH(Report!$M$1,Months,0),1,1))</f>
        <v>386100</v>
      </c>
      <c r="E87" s="109">
        <f ca="1">D87-C87</f>
        <v>8600</v>
      </c>
      <c r="F87" s="133">
        <f ca="1">IF(C87=0,IF(E87=0,0,-1),E87/ABS(C87))</f>
        <v>2.2781456953642386E-2</v>
      </c>
      <c r="G87" s="131">
        <f ca="1">IF(ISNA(MATCH(Report!$M$1,Months,0))=TRUE,0,OFFSET(BS!$C$9,0,MATCH(Report!$M$1,Months,0),1,1))</f>
        <v>377500</v>
      </c>
      <c r="H87" s="132">
        <f ca="1">IF(ISNA(MATCH(Report!$M$1,Months,0))=TRUE,0,OFFSET(BS!$C$31,0,MATCH(Report!$M$1,Months,0),1,1))</f>
        <v>386100</v>
      </c>
      <c r="I87" s="109">
        <f ca="1">H87-G87</f>
        <v>8600</v>
      </c>
      <c r="J87" s="133">
        <f ca="1">IF(G87=0,IF(I87=0,0,-1),I87/ABS(G87))</f>
        <v>2.2781456953642386E-2</v>
      </c>
      <c r="K87" s="131">
        <f ca="1">IF(ISNA(MATCH(Report!$M$1,Months,0))=TRUE,0,OFFSET(BS!$C$9,0,MATCH(Report!$M$1,Months,0),1,1))</f>
        <v>377500</v>
      </c>
      <c r="L87" s="132">
        <f ca="1">IF(ISNA(MATCH(Report!$M$1,Months,0))=TRUE,0,OFFSET(BS!$C$31,0,MATCH(Report!$M$1,Months,0),1,1))</f>
        <v>386100</v>
      </c>
      <c r="M87" s="109">
        <f ca="1">L87-K87</f>
        <v>8600</v>
      </c>
      <c r="N87" s="133">
        <f ca="1">IF(K87=0,IF(M87=0,0,-1),M87/ABS(K87))</f>
        <v>2.2781456953642386E-2</v>
      </c>
    </row>
    <row r="88" spans="1:14" s="109" customFormat="1" ht="15" customHeight="1" x14ac:dyDescent="0.3">
      <c r="A88" s="161" t="s">
        <v>37</v>
      </c>
      <c r="B88" s="186"/>
      <c r="C88" s="131">
        <f ca="1">C79</f>
        <v>-18819.808791446914</v>
      </c>
      <c r="D88" s="132">
        <f ca="1">D79</f>
        <v>-52871.154399999992</v>
      </c>
      <c r="E88" s="109">
        <f ca="1">D88-C88</f>
        <v>-34051.345608553078</v>
      </c>
      <c r="F88" s="133">
        <f ca="1">IF(C88=0,IF(E88=0,0,-1),E88/ABS(C88))</f>
        <v>-1.8093353649814168</v>
      </c>
      <c r="G88" s="131">
        <f ca="1">G79</f>
        <v>-18819.808791446922</v>
      </c>
      <c r="H88" s="132">
        <f ca="1">H79</f>
        <v>-52871.154399999898</v>
      </c>
      <c r="I88" s="109">
        <f ca="1">H88-G88</f>
        <v>-34051.345608552976</v>
      </c>
      <c r="J88" s="133">
        <f ca="1">IF(G88=0,IF(I88=0,0,-1),I88/ABS(G88))</f>
        <v>-1.8093353649814106</v>
      </c>
      <c r="K88" s="131">
        <f ca="1">K79</f>
        <v>-18819.808791446892</v>
      </c>
      <c r="L88" s="132">
        <f ca="1">L79</f>
        <v>-52871.154400000014</v>
      </c>
      <c r="M88" s="109">
        <f ca="1">L88-K88</f>
        <v>-34051.345608553122</v>
      </c>
      <c r="N88" s="133">
        <f ca="1">IF(K88=0,IF(M88=0,0,-1),M88/ABS(K88))</f>
        <v>-1.8093353649814212</v>
      </c>
    </row>
    <row r="89" spans="1:14" s="126" customFormat="1" ht="15" customHeight="1" x14ac:dyDescent="0.35">
      <c r="A89" s="187" t="s">
        <v>125</v>
      </c>
      <c r="B89" s="188"/>
      <c r="C89" s="134">
        <f ca="1">SUM(C84:C88)</f>
        <v>1426228.834065696</v>
      </c>
      <c r="D89" s="126">
        <f ca="1">SUM(D84:D88)</f>
        <v>1393962.8456000001</v>
      </c>
      <c r="E89" s="126">
        <f ca="1">SUM(E84:E88)</f>
        <v>-32265.988465695948</v>
      </c>
      <c r="F89" s="136">
        <f ca="1">IF(C89=0,IF(E89=0,0,-1),E89/ABS(C89))</f>
        <v>-2.2623289962324298E-2</v>
      </c>
      <c r="G89" s="134">
        <f ca="1">SUM(G84:G88)</f>
        <v>1426228.834065696</v>
      </c>
      <c r="H89" s="126">
        <f ca="1">SUM(H84:H88)</f>
        <v>1393962.8456000001</v>
      </c>
      <c r="I89" s="126">
        <f ca="1">SUM(I84:I88)</f>
        <v>-32265.988465695846</v>
      </c>
      <c r="J89" s="136">
        <f ca="1">IF(G89=0,IF(I89=0,0,-1),I89/ABS(G89))</f>
        <v>-2.2623289962324229E-2</v>
      </c>
      <c r="K89" s="134">
        <f ca="1">SUM(K84:K88)</f>
        <v>1426228.834065696</v>
      </c>
      <c r="L89" s="126">
        <f ca="1">SUM(L84:L88)</f>
        <v>1393962.8455999999</v>
      </c>
      <c r="M89" s="126">
        <f ca="1">SUM(M84:M88)</f>
        <v>-32265.988465695991</v>
      </c>
      <c r="N89" s="136">
        <f ca="1">IF(K89=0,IF(M89=0,0,-1),M89/ABS(K89))</f>
        <v>-2.2623289962324329E-2</v>
      </c>
    </row>
    <row r="90" spans="1:14" ht="15" customHeight="1" x14ac:dyDescent="0.3">
      <c r="C90" s="131"/>
      <c r="F90" s="133"/>
      <c r="G90" s="131"/>
      <c r="H90" s="109"/>
      <c r="J90" s="133"/>
      <c r="K90" s="131"/>
      <c r="L90" s="109"/>
      <c r="M90" s="109"/>
      <c r="N90" s="133"/>
    </row>
    <row r="91" spans="1:14" ht="15" customHeight="1" x14ac:dyDescent="0.35">
      <c r="A91" s="122" t="s">
        <v>38</v>
      </c>
      <c r="B91" s="123"/>
      <c r="C91" s="131"/>
      <c r="F91" s="133"/>
      <c r="G91" s="131"/>
      <c r="H91" s="109"/>
      <c r="J91" s="133"/>
      <c r="K91" s="131"/>
      <c r="L91" s="109"/>
      <c r="M91" s="109"/>
      <c r="N91" s="133"/>
    </row>
    <row r="92" spans="1:14" s="109" customFormat="1" ht="15" customHeight="1" x14ac:dyDescent="0.3">
      <c r="A92" s="161" t="s">
        <v>0</v>
      </c>
      <c r="B92" s="186"/>
      <c r="C92" s="131">
        <f ca="1">IF(ISNA(MATCH(Report!$M$1,Months,0))=TRUE,0,OFFSET(BS!$C$13,0,MATCH(Report!$M$1,Months,0),1,1))</f>
        <v>1500</v>
      </c>
      <c r="D92" s="132">
        <f ca="1">IF(ISNA(MATCH(Report!$M$1,Months,0))=TRUE,0,OFFSET(BS!$C$35,0,MATCH(Report!$M$1,Months,0),1,1))</f>
        <v>1000</v>
      </c>
      <c r="E92" s="109">
        <f ca="1">D92-C92</f>
        <v>-500</v>
      </c>
      <c r="F92" s="133">
        <f ca="1">IF(C92=0,IF(E92=0,0,-1),E92/ABS(C92))</f>
        <v>-0.33333333333333331</v>
      </c>
      <c r="G92" s="131">
        <f ca="1">IF(ISNA(MATCH(Report!$M$1,Months,0))=TRUE,0,OFFSET(BS!$C$13,0,MATCH(Report!$M$1,Months,0),1,1))</f>
        <v>1500</v>
      </c>
      <c r="H92" s="132">
        <f ca="1">IF(ISNA(MATCH(Report!$M$1,Months,0))=TRUE,0,OFFSET(BS!$C$35,0,MATCH(Report!$M$1,Months,0),1,1))</f>
        <v>1000</v>
      </c>
      <c r="I92" s="109">
        <f ca="1">H92-G92</f>
        <v>-500</v>
      </c>
      <c r="J92" s="133">
        <f ca="1">IF(G92=0,IF(I92=0,0,-1),I92/ABS(G92))</f>
        <v>-0.33333333333333331</v>
      </c>
      <c r="K92" s="131">
        <f ca="1">IF(ISNA(MATCH(Report!$M$1,Months,0))=TRUE,0,OFFSET(BS!$C$13,0,MATCH(Report!$M$1,Months,0),1,1))</f>
        <v>1500</v>
      </c>
      <c r="L92" s="132">
        <f ca="1">IF(ISNA(MATCH(Report!$M$1,Months,0))=TRUE,0,OFFSET(BS!$C$35,0,MATCH(Report!$M$1,Months,0),1,1))</f>
        <v>1000</v>
      </c>
      <c r="M92" s="109">
        <f ca="1">L92-K92</f>
        <v>-500</v>
      </c>
      <c r="N92" s="133">
        <f ca="1">IF(K92=0,IF(M92=0,0,-1),M92/ABS(K92))</f>
        <v>-0.33333333333333331</v>
      </c>
    </row>
    <row r="93" spans="1:14" s="109" customFormat="1" ht="15" customHeight="1" x14ac:dyDescent="0.3">
      <c r="A93" s="161" t="s">
        <v>39</v>
      </c>
      <c r="B93" s="186"/>
      <c r="C93" s="131">
        <f ca="1">IF(ISNA(MATCH(Report!$M$1,Months,0))=TRUE,0,OFFSET(BS!$C$14,0,MATCH(Report!$M$1,Months,0),1,1))</f>
        <v>160512.16161197933</v>
      </c>
      <c r="D93" s="132">
        <f ca="1">IF(ISNA(MATCH(Report!$M$1,Months,0))=TRUE,0,OFFSET(BS!$C$36,0,MATCH(Report!$M$1,Months,0),1,1))</f>
        <v>170428.8456</v>
      </c>
      <c r="E93" s="109">
        <f ca="1">D93-C93</f>
        <v>9916.683988020668</v>
      </c>
      <c r="F93" s="133">
        <f ca="1">IF(C93=0,IF(E93=0,0,-1),E93/ABS(C93))</f>
        <v>6.178151168378862E-2</v>
      </c>
      <c r="G93" s="131">
        <f ca="1">IF(ISNA(MATCH(Report!$M$1,Months,0))=TRUE,0,OFFSET(BS!$C$14,0,MATCH(Report!$M$1,Months,0),1,1))</f>
        <v>160512.16161197933</v>
      </c>
      <c r="H93" s="132">
        <f ca="1">IF(ISNA(MATCH(Report!$M$1,Months,0))=TRUE,0,OFFSET(BS!$C$36,0,MATCH(Report!$M$1,Months,0),1,1))</f>
        <v>170428.8456</v>
      </c>
      <c r="I93" s="109">
        <f ca="1">H93-G93</f>
        <v>9916.683988020668</v>
      </c>
      <c r="J93" s="133">
        <f ca="1">IF(G93=0,IF(I93=0,0,-1),I93/ABS(G93))</f>
        <v>6.178151168378862E-2</v>
      </c>
      <c r="K93" s="131">
        <f ca="1">IF(ISNA(MATCH(Report!$M$1,Months,0))=TRUE,0,OFFSET(BS!$C$14,0,MATCH(Report!$M$1,Months,0),1,1))</f>
        <v>160512.16161197933</v>
      </c>
      <c r="L93" s="132">
        <f ca="1">IF(ISNA(MATCH(Report!$M$1,Months,0))=TRUE,0,OFFSET(BS!$C$36,0,MATCH(Report!$M$1,Months,0),1,1))</f>
        <v>170428.8456</v>
      </c>
      <c r="M93" s="109">
        <f ca="1">L93-K93</f>
        <v>9916.683988020668</v>
      </c>
      <c r="N93" s="133">
        <f ca="1">IF(K93=0,IF(M93=0,0,-1),M93/ABS(K93))</f>
        <v>6.178151168378862E-2</v>
      </c>
    </row>
    <row r="94" spans="1:14" s="109" customFormat="1" ht="15" customHeight="1" x14ac:dyDescent="0.3">
      <c r="A94" s="161" t="s">
        <v>43</v>
      </c>
      <c r="B94" s="186"/>
      <c r="C94" s="131">
        <f ca="1">IF(ISNA(MATCH(Report!$M$1,Months,0))=TRUE,0,OFFSET(BS!$C$15,0,MATCH(Report!$M$1,Months,0),1,1))</f>
        <v>1110172.0295965739</v>
      </c>
      <c r="D94" s="132">
        <f ca="1">IF(ISNA(MATCH(Report!$M$1,Months,0))=TRUE,0,OFFSET(BS!$C$37,0,MATCH(Report!$M$1,Months,0),1,1))</f>
        <v>1058834</v>
      </c>
      <c r="E94" s="109">
        <f ca="1">D94-C94</f>
        <v>-51338.029596573906</v>
      </c>
      <c r="F94" s="133">
        <f ca="1">IF(C94=0,IF(E94=0,0,-1),E94/ABS(C94))</f>
        <v>-4.6243310250961435E-2</v>
      </c>
      <c r="G94" s="131">
        <f ca="1">IF(ISNA(MATCH(Report!$M$1,Months,0))=TRUE,0,OFFSET(BS!$C$15,0,MATCH(Report!$M$1,Months,0),1,1))</f>
        <v>1110172.0295965739</v>
      </c>
      <c r="H94" s="132">
        <f ca="1">IF(ISNA(MATCH(Report!$M$1,Months,0))=TRUE,0,OFFSET(BS!$C$37,0,MATCH(Report!$M$1,Months,0),1,1))</f>
        <v>1058834</v>
      </c>
      <c r="I94" s="109">
        <f ca="1">H94-G94</f>
        <v>-51338.029596573906</v>
      </c>
      <c r="J94" s="133">
        <f ca="1">IF(G94=0,IF(I94=0,0,-1),I94/ABS(G94))</f>
        <v>-4.6243310250961435E-2</v>
      </c>
      <c r="K94" s="131">
        <f ca="1">IF(ISNA(MATCH(Report!$M$1,Months,0))=TRUE,0,OFFSET(BS!$C$15,0,MATCH(Report!$M$1,Months,0),1,1))</f>
        <v>1110172.0295965739</v>
      </c>
      <c r="L94" s="132">
        <f ca="1">IF(ISNA(MATCH(Report!$M$1,Months,0))=TRUE,0,OFFSET(BS!$C$37,0,MATCH(Report!$M$1,Months,0),1,1))</f>
        <v>1058834</v>
      </c>
      <c r="M94" s="109">
        <f ca="1">L94-K94</f>
        <v>-51338.029596573906</v>
      </c>
      <c r="N94" s="133">
        <f ca="1">IF(K94=0,IF(M94=0,0,-1),M94/ABS(K94))</f>
        <v>-4.6243310250961435E-2</v>
      </c>
    </row>
    <row r="95" spans="1:14" s="109" customFormat="1" ht="15" customHeight="1" x14ac:dyDescent="0.35">
      <c r="A95" s="178" t="s">
        <v>40</v>
      </c>
      <c r="B95" s="186"/>
      <c r="C95" s="131"/>
      <c r="D95" s="132"/>
      <c r="F95" s="133"/>
      <c r="G95" s="131"/>
      <c r="H95" s="132"/>
      <c r="J95" s="133"/>
      <c r="K95" s="131"/>
      <c r="L95" s="132"/>
      <c r="N95" s="133"/>
    </row>
    <row r="96" spans="1:14" s="109" customFormat="1" ht="15" customHeight="1" x14ac:dyDescent="0.3">
      <c r="A96" s="161" t="s">
        <v>85</v>
      </c>
      <c r="B96" s="186"/>
      <c r="C96" s="131">
        <f ca="1">IF(ISNA(MATCH(Report!$M$1,Months,0))=TRUE,0,OFFSET(BS!$C$17,0,MATCH(Report!$M$1,Months,0),1,1))</f>
        <v>154044.64285714287</v>
      </c>
      <c r="D96" s="132">
        <f ca="1">IF(ISNA(MATCH(Report!$M$1,Months,0))=TRUE,0,OFFSET(BS!$C$39,0,MATCH(Report!$M$1,Months,0),1,1))</f>
        <v>163700</v>
      </c>
      <c r="E96" s="109">
        <f ca="1">D96-C96</f>
        <v>9655.3571428571304</v>
      </c>
      <c r="F96" s="133">
        <f ca="1">IF(C96=0,IF(E96=0,0,-1),E96/ABS(C96))</f>
        <v>6.2678954384744592E-2</v>
      </c>
      <c r="G96" s="131">
        <f ca="1">IF(ISNA(MATCH(Report!$M$1,Months,0))=TRUE,0,OFFSET(BS!$C$17,0,MATCH(Report!$M$1,Months,0),1,1))</f>
        <v>154044.64285714287</v>
      </c>
      <c r="H96" s="132">
        <f ca="1">IF(ISNA(MATCH(Report!$M$1,Months,0))=TRUE,0,OFFSET(BS!$C$39,0,MATCH(Report!$M$1,Months,0),1,1))</f>
        <v>163700</v>
      </c>
      <c r="I96" s="109">
        <f ca="1">H96-G96</f>
        <v>9655.3571428571304</v>
      </c>
      <c r="J96" s="133">
        <f ca="1">IF(G96=0,IF(I96=0,0,-1),I96/ABS(G96))</f>
        <v>6.2678954384744592E-2</v>
      </c>
      <c r="K96" s="131">
        <f ca="1">IF(ISNA(MATCH(Report!$M$1,Months,0))=TRUE,0,OFFSET(BS!$C$17,0,MATCH(Report!$M$1,Months,0),1,1))</f>
        <v>154044.64285714287</v>
      </c>
      <c r="L96" s="132">
        <f ca="1">IF(ISNA(MATCH(Report!$M$1,Months,0))=TRUE,0,OFFSET(BS!$C$39,0,MATCH(Report!$M$1,Months,0),1,1))</f>
        <v>163700</v>
      </c>
      <c r="M96" s="109">
        <f ca="1">L96-K96</f>
        <v>9655.3571428571304</v>
      </c>
      <c r="N96" s="133">
        <f ca="1">IF(K96=0,IF(M96=0,0,-1),M96/ABS(K96))</f>
        <v>6.2678954384744592E-2</v>
      </c>
    </row>
    <row r="97" spans="1:14" s="109" customFormat="1" ht="15" customHeight="1" x14ac:dyDescent="0.3">
      <c r="A97" s="161" t="s">
        <v>52</v>
      </c>
      <c r="B97" s="186"/>
      <c r="C97" s="131">
        <f ca="1">IF(ISNA(MATCH(Report!$M$1,Months,0))=TRUE,0,OFFSET(BS!$C$18,0,MATCH(Report!$M$1,Months,0),1,1))</f>
        <v>0</v>
      </c>
      <c r="D97" s="132">
        <f ca="1">IF(ISNA(MATCH(Report!$M$1,Months,0))=TRUE,0,OFFSET(BS!$C$40,0,MATCH(Report!$M$1,Months,0),1,1))</f>
        <v>0</v>
      </c>
      <c r="E97" s="109">
        <f ca="1">D97-C97</f>
        <v>0</v>
      </c>
      <c r="F97" s="133">
        <f ca="1">IF(C97=0,IF(E97=0,0,-1),E97/ABS(C97))</f>
        <v>0</v>
      </c>
      <c r="G97" s="131">
        <f ca="1">IF(ISNA(MATCH(Report!$M$1,Months,0))=TRUE,0,OFFSET(BS!$C$18,0,MATCH(Report!$M$1,Months,0),1,1))</f>
        <v>0</v>
      </c>
      <c r="H97" s="132">
        <f ca="1">IF(ISNA(MATCH(Report!$M$1,Months,0))=TRUE,0,OFFSET(BS!$C$40,0,MATCH(Report!$M$1,Months,0),1,1))</f>
        <v>0</v>
      </c>
      <c r="I97" s="109">
        <f ca="1">H97-G97</f>
        <v>0</v>
      </c>
      <c r="J97" s="133">
        <f ca="1">IF(G97=0,IF(I97=0,0,-1),I97/ABS(G97))</f>
        <v>0</v>
      </c>
      <c r="K97" s="131">
        <f ca="1">IF(ISNA(MATCH(Report!$M$1,Months,0))=TRUE,0,OFFSET(BS!$C$18,0,MATCH(Report!$M$1,Months,0),1,1))</f>
        <v>0</v>
      </c>
      <c r="L97" s="132">
        <f ca="1">IF(ISNA(MATCH(Report!$M$1,Months,0))=TRUE,0,OFFSET(BS!$C$40,0,MATCH(Report!$M$1,Months,0),1,1))</f>
        <v>0</v>
      </c>
      <c r="M97" s="109">
        <f ca="1">L97-K97</f>
        <v>0</v>
      </c>
      <c r="N97" s="133">
        <f ca="1">IF(K97=0,IF(M97=0,0,-1),M97/ABS(K97))</f>
        <v>0</v>
      </c>
    </row>
    <row r="98" spans="1:14" s="126" customFormat="1" ht="15" customHeight="1" x14ac:dyDescent="0.35">
      <c r="A98" s="187" t="s">
        <v>126</v>
      </c>
      <c r="B98" s="188"/>
      <c r="C98" s="134">
        <f ca="1">SUM(C92:C97)</f>
        <v>1426228.8340656962</v>
      </c>
      <c r="D98" s="126">
        <f ca="1">SUM(D92:D97)</f>
        <v>1393962.8456000001</v>
      </c>
      <c r="E98" s="126">
        <f ca="1">SUM(E92:E97)</f>
        <v>-32265.988465696108</v>
      </c>
      <c r="F98" s="136">
        <f ca="1">IF(C98=0,IF(E98=0,0,-1),E98/ABS(C98))</f>
        <v>-2.2623289962324405E-2</v>
      </c>
      <c r="G98" s="134">
        <f ca="1">SUM(G92:G97)</f>
        <v>1426228.8340656962</v>
      </c>
      <c r="H98" s="126">
        <f ca="1">SUM(H92:H97)</f>
        <v>1393962.8456000001</v>
      </c>
      <c r="I98" s="126">
        <f ca="1">SUM(I92:I97)</f>
        <v>-32265.988465696108</v>
      </c>
      <c r="J98" s="136">
        <f ca="1">IF(G98=0,IF(I98=0,0,-1),I98/ABS(G98))</f>
        <v>-2.2623289962324405E-2</v>
      </c>
      <c r="K98" s="134">
        <f ca="1">SUM(K92:K97)</f>
        <v>1426228.8340656962</v>
      </c>
      <c r="L98" s="126">
        <f ca="1">SUM(L92:L97)</f>
        <v>1393962.8456000001</v>
      </c>
      <c r="M98" s="126">
        <f ca="1">SUM(M92:M97)</f>
        <v>-32265.988465696108</v>
      </c>
      <c r="N98" s="136">
        <f ca="1">IF(K98=0,IF(M98=0,0,-1),M98/ABS(K98))</f>
        <v>-2.2623289962324405E-2</v>
      </c>
    </row>
    <row r="99" spans="1:14" ht="15" customHeight="1" x14ac:dyDescent="0.3">
      <c r="A99" s="189"/>
      <c r="B99" s="190"/>
      <c r="C99" s="154"/>
      <c r="D99" s="155"/>
      <c r="E99" s="155"/>
      <c r="F99" s="156"/>
      <c r="G99" s="154"/>
      <c r="H99" s="155"/>
      <c r="I99" s="155"/>
      <c r="J99" s="156"/>
      <c r="K99" s="154"/>
      <c r="L99" s="155"/>
      <c r="M99" s="155"/>
      <c r="N99" s="156"/>
    </row>
    <row r="100" spans="1:14" ht="15" customHeight="1" x14ac:dyDescent="0.3">
      <c r="A100" s="157"/>
      <c r="B100" s="158"/>
      <c r="C100" s="132"/>
      <c r="D100" s="132"/>
      <c r="E100" s="132"/>
      <c r="F100" s="159"/>
      <c r="G100" s="132"/>
      <c r="H100" s="132"/>
      <c r="I100" s="132"/>
      <c r="J100" s="159"/>
      <c r="K100" s="132"/>
      <c r="L100" s="132"/>
      <c r="M100" s="132"/>
      <c r="N100" s="159"/>
    </row>
    <row r="101" spans="1:14" s="195" customFormat="1" ht="15" customHeight="1" x14ac:dyDescent="0.3">
      <c r="A101" s="191" t="s">
        <v>127</v>
      </c>
      <c r="B101" s="192"/>
      <c r="C101" s="193" t="str">
        <f ca="1">IF(ROUND(C89-C98,2)&lt;&gt;0,"error","ok")</f>
        <v>ok</v>
      </c>
      <c r="D101" s="193" t="str">
        <f ca="1">IF(ROUND(D89-D98,2)&lt;&gt;0,"error","ok")</f>
        <v>ok</v>
      </c>
      <c r="E101" s="193" t="str">
        <f ca="1">IF(ROUND(E89-E98,2)&lt;&gt;0,"error","ok")</f>
        <v>ok</v>
      </c>
      <c r="F101" s="194"/>
      <c r="G101" s="193" t="str">
        <f ca="1">IF(ROUND(G89-G98,2)&lt;&gt;0,"error","ok")</f>
        <v>ok</v>
      </c>
      <c r="H101" s="193" t="str">
        <f ca="1">IF(ROUND(H89-H98,2)&lt;&gt;0,"error","ok")</f>
        <v>ok</v>
      </c>
      <c r="I101" s="193" t="str">
        <f ca="1">IF(ROUND(I89-I98,2)&lt;&gt;0,"error","ok")</f>
        <v>ok</v>
      </c>
      <c r="J101" s="194"/>
      <c r="K101" s="193" t="str">
        <f ca="1">IF(ROUND(K89-K98,2)&lt;&gt;0,"error","ok")</f>
        <v>ok</v>
      </c>
      <c r="L101" s="193" t="str">
        <f ca="1">IF(ROUND(L89-L98,2)&lt;&gt;0,"error","ok")</f>
        <v>ok</v>
      </c>
      <c r="M101" s="193" t="str">
        <f ca="1">IF(ROUND(M89-M98,2)&lt;&gt;0,"error","ok")</f>
        <v>ok</v>
      </c>
      <c r="N101" s="194"/>
    </row>
    <row r="102" spans="1:14" s="200" customFormat="1" ht="15" customHeight="1" x14ac:dyDescent="0.3">
      <c r="A102" s="196"/>
      <c r="B102" s="197"/>
      <c r="C102" s="198"/>
      <c r="D102" s="198"/>
      <c r="E102" s="198"/>
      <c r="F102" s="199"/>
      <c r="G102" s="198"/>
      <c r="H102" s="198"/>
      <c r="I102" s="198"/>
      <c r="J102" s="199"/>
      <c r="K102" s="198"/>
      <c r="L102" s="198"/>
      <c r="M102" s="198"/>
      <c r="N102" s="199"/>
    </row>
  </sheetData>
  <sheetProtection insertRows="0" deleteRows="0"/>
  <mergeCells count="12">
    <mergeCell ref="G3:J3"/>
    <mergeCell ref="G48:J48"/>
    <mergeCell ref="G81:J81"/>
    <mergeCell ref="C3:F3"/>
    <mergeCell ref="K3:N3"/>
    <mergeCell ref="A82:B82"/>
    <mergeCell ref="A4:B4"/>
    <mergeCell ref="C48:F48"/>
    <mergeCell ref="K48:N48"/>
    <mergeCell ref="A49:B49"/>
    <mergeCell ref="C81:F81"/>
    <mergeCell ref="K81:N81"/>
  </mergeCells>
  <conditionalFormatting sqref="C101:N101">
    <cfRule type="cellIs" dxfId="2" priority="5" stopIfTrue="1" operator="equal">
      <formula>"error"</formula>
    </cfRule>
  </conditionalFormatting>
  <conditionalFormatting sqref="B13:B36">
    <cfRule type="cellIs" dxfId="1" priority="6" stopIfTrue="1" operator="equal">
      <formula>"ERR"</formula>
    </cfRule>
  </conditionalFormatting>
  <conditionalFormatting sqref="M1">
    <cfRule type="expression" dxfId="0" priority="4" stopIfTrue="1">
      <formula>ISNA(MATCH($M$1,Months,0))=TRUE</formula>
    </cfRule>
  </conditionalFormatting>
  <dataValidations count="1">
    <dataValidation type="list" allowBlank="1" showInputMessage="1" showErrorMessage="1" errorTitle="Invalid Data" error="Select a valid week from the list box." sqref="M1" xr:uid="{00000000-0002-0000-0600-000000000000}">
      <formula1>Months</formula1>
    </dataValidation>
  </dataValidations>
  <pageMargins left="0.55118110236220474" right="0.55118110236220474" top="0.39370078740157483" bottom="0.59055118110236227" header="0" footer="0.39370078740157483"/>
  <pageSetup paperSize="9" scale="65" fitToHeight="0" orientation="landscape" r:id="rId1"/>
  <headerFooter alignWithMargins="0">
    <oddFooter>&amp;C&amp;9Page &amp;P of &amp;N</oddFooter>
  </headerFooter>
  <rowBreaks count="2" manualBreakCount="2">
    <brk id="47" max="9" man="1"/>
    <brk id="80" max="9" man="1"/>
  </rowBreaks>
  <ignoredErrors>
    <ignoredError sqref="F36 E60:F60 F63 M60 F67 F73 F75 F79 F89 F98 J36 I60:J60 J63 J67 J73 J75 J79 J89 J9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Assumptions</vt:lpstr>
      <vt:lpstr>Forecast</vt:lpstr>
      <vt:lpstr>Actual</vt:lpstr>
      <vt:lpstr>BS</vt:lpstr>
      <vt:lpstr>Loans</vt:lpstr>
      <vt:lpstr>Report</vt:lpstr>
      <vt:lpstr>LoanMonths</vt:lpstr>
      <vt:lpstr>MonthList</vt:lpstr>
      <vt:lpstr>Months</vt:lpstr>
      <vt:lpstr>Actual!Print_Area</vt:lpstr>
      <vt:lpstr>BS!Print_Area</vt:lpstr>
      <vt:lpstr>Forecast!Print_Area</vt:lpstr>
      <vt:lpstr>Report!Print_Area</vt:lpstr>
      <vt:lpstr>Actual!Print_Titles</vt:lpstr>
      <vt:lpstr>BS!Print_Titles</vt:lpstr>
      <vt:lpstr>Forecast!Print_Titles</vt:lpstr>
      <vt:lpstr>Loans!Print_Titles</vt:lpstr>
      <vt:lpstr>Report!Print_Titles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cash flow template, weekly cash flow, excel cash flow, forecast versus actual</cp:keywords>
  <dc:description>BDS Tools to help with managing your business</dc:description>
  <cp:lastModifiedBy>Peter</cp:lastModifiedBy>
  <cp:lastPrinted>2014-07-10T15:52:12Z</cp:lastPrinted>
  <dcterms:created xsi:type="dcterms:W3CDTF">2009-07-26T08:36:26Z</dcterms:created>
  <dcterms:modified xsi:type="dcterms:W3CDTF">2020-04-27T03:43:35Z</dcterms:modified>
  <cp:category>BDS Tools; Version 1.0</cp:category>
  <cp:contentStatus>Published</cp:contentStatus>
  <cp:version>1</cp:version>
</cp:coreProperties>
</file>