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74A6C486-3111-4EC4-B7E4-D646535AC44E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Assumptions" sheetId="2" r:id="rId1"/>
    <sheet name="IncState" sheetId="1" r:id="rId2"/>
    <sheet name="CashFlow" sheetId="11" r:id="rId3"/>
    <sheet name="BalanceSheet" sheetId="6" r:id="rId4"/>
    <sheet name="Loans" sheetId="7" r:id="rId5"/>
  </sheets>
  <definedNames>
    <definedName name="Months">IncState!$C$4:$AO$4</definedName>
    <definedName name="_xlnm.Print_Area" localSheetId="2">CashFlow!$B$1:$AO$34</definedName>
    <definedName name="_xlnm.Print_Area" localSheetId="1">IncState!$B$1:$AO$51</definedName>
    <definedName name="_xlnm.Print_Titles" localSheetId="3">BalanceSheet!$A:$A,BalanceSheet!$1:$4</definedName>
    <definedName name="_xlnm.Print_Titles" localSheetId="2">CashFlow!$B:$B,CashFlow!$1:$4</definedName>
    <definedName name="_xlnm.Print_Titles" localSheetId="1">IncState!$B:$B,IncState!$1:$4</definedName>
    <definedName name="_xlnm.Print_Titles" localSheetId="4">Loans!$1:$8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B4" i="6"/>
  <c r="B21" i="6" s="1"/>
  <c r="C4" i="6"/>
  <c r="D4" i="6" s="1"/>
  <c r="D21" i="6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O21" i="11"/>
  <c r="AO22" i="11" s="1"/>
  <c r="AB21" i="11"/>
  <c r="AB22" i="11" s="1"/>
  <c r="O21" i="11"/>
  <c r="O22" i="11" s="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O38" i="1"/>
  <c r="AB38" i="1"/>
  <c r="O38" i="1"/>
  <c r="AO26" i="11"/>
  <c r="AB26" i="11"/>
  <c r="O26" i="11"/>
  <c r="AO25" i="11"/>
  <c r="AB25" i="11"/>
  <c r="O25" i="11"/>
  <c r="B1" i="11"/>
  <c r="A1" i="7"/>
  <c r="A1" i="6"/>
  <c r="B1" i="1"/>
  <c r="C23" i="2"/>
  <c r="C17" i="2"/>
  <c r="A1" i="2"/>
  <c r="B18" i="6"/>
  <c r="B5" i="7"/>
  <c r="B6" i="7"/>
  <c r="F9" i="7" s="1"/>
  <c r="G9" i="7" s="1"/>
  <c r="B10" i="7" s="1"/>
  <c r="B4" i="7"/>
  <c r="C9" i="7"/>
  <c r="AC36" i="1"/>
  <c r="AD36" i="1"/>
  <c r="AE36" i="1"/>
  <c r="AF36" i="1"/>
  <c r="AG36" i="1"/>
  <c r="AH36" i="1"/>
  <c r="AI36" i="1"/>
  <c r="AJ36" i="1"/>
  <c r="AK36" i="1"/>
  <c r="AL36" i="1"/>
  <c r="AM36" i="1"/>
  <c r="AN36" i="1"/>
  <c r="C36" i="1"/>
  <c r="C40" i="1" s="1"/>
  <c r="D36" i="1"/>
  <c r="E36" i="1"/>
  <c r="F36" i="1"/>
  <c r="G36" i="1"/>
  <c r="H36" i="1"/>
  <c r="I36" i="1"/>
  <c r="J36" i="1"/>
  <c r="K36" i="1"/>
  <c r="L36" i="1"/>
  <c r="M36" i="1"/>
  <c r="N36" i="1"/>
  <c r="P36" i="1"/>
  <c r="Q36" i="1"/>
  <c r="R36" i="1"/>
  <c r="S36" i="1"/>
  <c r="T36" i="1"/>
  <c r="U36" i="1"/>
  <c r="V36" i="1"/>
  <c r="W36" i="1"/>
  <c r="X36" i="1"/>
  <c r="Y36" i="1"/>
  <c r="Z36" i="1"/>
  <c r="AA36" i="1"/>
  <c r="O28" i="1"/>
  <c r="B9" i="6"/>
  <c r="AC9" i="1"/>
  <c r="C9" i="1"/>
  <c r="D9" i="1"/>
  <c r="D7" i="1" s="1"/>
  <c r="E9" i="1"/>
  <c r="F9" i="1"/>
  <c r="G9" i="1"/>
  <c r="H9" i="1"/>
  <c r="H7" i="1" s="1"/>
  <c r="I9" i="1"/>
  <c r="J9" i="1"/>
  <c r="K9" i="1"/>
  <c r="L9" i="1"/>
  <c r="L7" i="1" s="1"/>
  <c r="M9" i="1"/>
  <c r="N9" i="1"/>
  <c r="P9" i="1"/>
  <c r="Q9" i="1"/>
  <c r="R9" i="1"/>
  <c r="S9" i="1"/>
  <c r="T9" i="1"/>
  <c r="U9" i="1"/>
  <c r="U7" i="1" s="1"/>
  <c r="V9" i="1"/>
  <c r="W9" i="1"/>
  <c r="X9" i="1"/>
  <c r="Y9" i="1"/>
  <c r="Y7" i="1" s="1"/>
  <c r="Z9" i="1"/>
  <c r="AA9" i="1"/>
  <c r="AD9" i="1"/>
  <c r="AE9" i="1"/>
  <c r="AF9" i="1"/>
  <c r="AG9" i="1"/>
  <c r="AH9" i="1"/>
  <c r="AI9" i="1"/>
  <c r="AI7" i="1" s="1"/>
  <c r="AJ9" i="1"/>
  <c r="AK9" i="1"/>
  <c r="AL9" i="1"/>
  <c r="AM9" i="1"/>
  <c r="AM7" i="1" s="1"/>
  <c r="AN9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5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5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9" i="1"/>
  <c r="O30" i="1"/>
  <c r="O31" i="1"/>
  <c r="O32" i="1"/>
  <c r="O33" i="1"/>
  <c r="O34" i="1"/>
  <c r="O35" i="1"/>
  <c r="O5" i="1"/>
  <c r="AN7" i="1"/>
  <c r="AL7" i="1"/>
  <c r="AH7" i="1"/>
  <c r="AG7" i="1"/>
  <c r="AD7" i="1"/>
  <c r="AC7" i="1"/>
  <c r="X7" i="1"/>
  <c r="T7" i="1"/>
  <c r="R7" i="1"/>
  <c r="P7" i="1"/>
  <c r="M7" i="1"/>
  <c r="K7" i="1"/>
  <c r="G7" i="1"/>
  <c r="C7" i="1"/>
  <c r="B17" i="6"/>
  <c r="B14" i="6"/>
  <c r="B15" i="6"/>
  <c r="B13" i="6"/>
  <c r="B6" i="6"/>
  <c r="C6" i="6" s="1"/>
  <c r="B8" i="6"/>
  <c r="B10" i="6"/>
  <c r="C32" i="11" s="1"/>
  <c r="O32" i="11"/>
  <c r="AO9" i="1" l="1"/>
  <c r="AO10" i="1" s="1"/>
  <c r="AB36" i="1"/>
  <c r="AO10" i="11"/>
  <c r="O10" i="11"/>
  <c r="D6" i="6"/>
  <c r="E6" i="6" s="1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E7" i="1"/>
  <c r="C12" i="7"/>
  <c r="AB10" i="11"/>
  <c r="B11" i="6"/>
  <c r="R40" i="1"/>
  <c r="AM40" i="1"/>
  <c r="AI40" i="1"/>
  <c r="AE40" i="1"/>
  <c r="M40" i="1"/>
  <c r="D8" i="6"/>
  <c r="D25" i="6" s="1"/>
  <c r="C10" i="7"/>
  <c r="E10" i="7" s="1"/>
  <c r="C42" i="1" s="1"/>
  <c r="C43" i="1" s="1"/>
  <c r="AG40" i="1"/>
  <c r="AC40" i="1"/>
  <c r="A13" i="7"/>
  <c r="C13" i="7" s="1"/>
  <c r="AN40" i="1"/>
  <c r="C21" i="6"/>
  <c r="C8" i="6" s="1"/>
  <c r="C25" i="6" s="1"/>
  <c r="C11" i="7"/>
  <c r="P4" i="1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O4" i="11"/>
  <c r="O36" i="1"/>
  <c r="AF40" i="1"/>
  <c r="AF7" i="1"/>
  <c r="V40" i="1"/>
  <c r="V7" i="1"/>
  <c r="I40" i="1"/>
  <c r="I7" i="1"/>
  <c r="E40" i="1"/>
  <c r="E7" i="1"/>
  <c r="AJ40" i="1"/>
  <c r="AJ7" i="1"/>
  <c r="Z40" i="1"/>
  <c r="Z7" i="1"/>
  <c r="AO36" i="1"/>
  <c r="AO40" i="1" s="1"/>
  <c r="Y40" i="1"/>
  <c r="U40" i="1"/>
  <c r="Q40" i="1"/>
  <c r="Q7" i="1"/>
  <c r="AB9" i="1"/>
  <c r="AB10" i="1" s="1"/>
  <c r="L40" i="1"/>
  <c r="H40" i="1"/>
  <c r="D40" i="1"/>
  <c r="O9" i="1"/>
  <c r="O10" i="1" s="1"/>
  <c r="O4" i="1"/>
  <c r="P4" i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D9" i="6"/>
  <c r="D17" i="6"/>
  <c r="C13" i="6"/>
  <c r="B19" i="6"/>
  <c r="E4" i="6"/>
  <c r="AK40" i="1"/>
  <c r="AK7" i="1"/>
  <c r="AA40" i="1"/>
  <c r="AA7" i="1"/>
  <c r="W40" i="1"/>
  <c r="W7" i="1"/>
  <c r="S40" i="1"/>
  <c r="S7" i="1"/>
  <c r="N40" i="1"/>
  <c r="N7" i="1"/>
  <c r="J40" i="1"/>
  <c r="J7" i="1"/>
  <c r="F40" i="1"/>
  <c r="F7" i="1"/>
  <c r="AL40" i="1"/>
  <c r="AH40" i="1"/>
  <c r="AD40" i="1"/>
  <c r="X40" i="1"/>
  <c r="T40" i="1"/>
  <c r="P40" i="1"/>
  <c r="K40" i="1"/>
  <c r="G40" i="1"/>
  <c r="O40" i="1" l="1"/>
  <c r="A14" i="7"/>
  <c r="A15" i="7" s="1"/>
  <c r="O7" i="1"/>
  <c r="C17" i="6"/>
  <c r="C27" i="6" s="1"/>
  <c r="D13" i="7"/>
  <c r="D11" i="7"/>
  <c r="C7" i="11"/>
  <c r="C16" i="11" s="1"/>
  <c r="C9" i="6"/>
  <c r="C26" i="6" s="1"/>
  <c r="C45" i="1"/>
  <c r="C14" i="6" s="1"/>
  <c r="C50" i="1" s="1"/>
  <c r="D10" i="7"/>
  <c r="F10" i="7" s="1"/>
  <c r="G10" i="7" s="1"/>
  <c r="C49" i="1"/>
  <c r="D12" i="7"/>
  <c r="AB4" i="1"/>
  <c r="AC4" i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D13" i="6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AK13" i="6" s="1"/>
  <c r="AL13" i="6" s="1"/>
  <c r="AB7" i="1"/>
  <c r="D12" i="11"/>
  <c r="C12" i="11"/>
  <c r="C8" i="11"/>
  <c r="C18" i="6"/>
  <c r="F4" i="6"/>
  <c r="E21" i="6"/>
  <c r="E8" i="6" s="1"/>
  <c r="AC4" i="11"/>
  <c r="AD4" i="11" s="1"/>
  <c r="AE4" i="11" s="1"/>
  <c r="AF4" i="11" s="1"/>
  <c r="AG4" i="11" s="1"/>
  <c r="AH4" i="11" s="1"/>
  <c r="AI4" i="11" s="1"/>
  <c r="AJ4" i="11" s="1"/>
  <c r="AK4" i="11" s="1"/>
  <c r="AL4" i="11" s="1"/>
  <c r="AM4" i="11" s="1"/>
  <c r="AN4" i="11" s="1"/>
  <c r="AO4" i="11" s="1"/>
  <c r="AB4" i="11"/>
  <c r="C14" i="7"/>
  <c r="D14" i="7" s="1"/>
  <c r="D26" i="6"/>
  <c r="D27" i="6"/>
  <c r="AB40" i="1"/>
  <c r="AO7" i="1"/>
  <c r="C14" i="11" l="1"/>
  <c r="D13" i="11"/>
  <c r="D14" i="11"/>
  <c r="C13" i="11"/>
  <c r="C27" i="11"/>
  <c r="C28" i="11" s="1"/>
  <c r="C6" i="11"/>
  <c r="C46" i="1"/>
  <c r="E12" i="11"/>
  <c r="C17" i="11"/>
  <c r="F21" i="6"/>
  <c r="G4" i="6"/>
  <c r="E25" i="6"/>
  <c r="A16" i="7"/>
  <c r="C15" i="7"/>
  <c r="E11" i="7"/>
  <c r="B11" i="7"/>
  <c r="E17" i="6"/>
  <c r="E9" i="6"/>
  <c r="C15" i="11" l="1"/>
  <c r="C18" i="11" s="1"/>
  <c r="C30" i="11" s="1"/>
  <c r="C34" i="11" s="1"/>
  <c r="D32" i="11" s="1"/>
  <c r="C15" i="6"/>
  <c r="C19" i="6" s="1"/>
  <c r="E14" i="11"/>
  <c r="E27" i="6"/>
  <c r="H4" i="6"/>
  <c r="G21" i="6"/>
  <c r="D42" i="1"/>
  <c r="F11" i="7"/>
  <c r="C16" i="7"/>
  <c r="A17" i="7"/>
  <c r="D15" i="7"/>
  <c r="F9" i="6"/>
  <c r="F17" i="6"/>
  <c r="F8" i="6"/>
  <c r="E26" i="6"/>
  <c r="E13" i="11"/>
  <c r="C10" i="6" l="1"/>
  <c r="C11" i="6" s="1"/>
  <c r="C51" i="1" s="1"/>
  <c r="C28" i="6"/>
  <c r="F26" i="6"/>
  <c r="D16" i="7"/>
  <c r="H21" i="6"/>
  <c r="I4" i="6"/>
  <c r="D27" i="11"/>
  <c r="G11" i="7"/>
  <c r="F25" i="6"/>
  <c r="F12" i="11"/>
  <c r="D7" i="11"/>
  <c r="D43" i="1"/>
  <c r="D45" i="1" s="1"/>
  <c r="D49" i="1"/>
  <c r="F13" i="11"/>
  <c r="F14" i="11"/>
  <c r="F27" i="6"/>
  <c r="A18" i="7"/>
  <c r="C17" i="7"/>
  <c r="G8" i="6"/>
  <c r="G12" i="11" s="1"/>
  <c r="G17" i="6"/>
  <c r="G9" i="6"/>
  <c r="G13" i="11" s="1"/>
  <c r="C24" i="6" l="1"/>
  <c r="C23" i="6"/>
  <c r="D16" i="11"/>
  <c r="E12" i="7"/>
  <c r="B12" i="7"/>
  <c r="G14" i="11"/>
  <c r="G27" i="6"/>
  <c r="D46" i="1"/>
  <c r="D14" i="6"/>
  <c r="D6" i="11"/>
  <c r="D8" i="11"/>
  <c r="D18" i="6"/>
  <c r="J4" i="6"/>
  <c r="I21" i="6"/>
  <c r="G26" i="6"/>
  <c r="A19" i="7"/>
  <c r="C18" i="7"/>
  <c r="D28" i="11"/>
  <c r="D15" i="6"/>
  <c r="G25" i="6"/>
  <c r="H9" i="6"/>
  <c r="H13" i="11" s="1"/>
  <c r="H17" i="6"/>
  <c r="H8" i="6"/>
  <c r="H12" i="11" s="1"/>
  <c r="D17" i="7"/>
  <c r="I17" i="6" l="1"/>
  <c r="I9" i="6"/>
  <c r="I13" i="11" s="1"/>
  <c r="I8" i="6"/>
  <c r="I12" i="11" s="1"/>
  <c r="D17" i="11"/>
  <c r="D50" i="1"/>
  <c r="D28" i="6"/>
  <c r="D19" i="6"/>
  <c r="H14" i="11"/>
  <c r="H27" i="6"/>
  <c r="D18" i="7"/>
  <c r="K4" i="6"/>
  <c r="J21" i="6"/>
  <c r="H25" i="6"/>
  <c r="E42" i="1"/>
  <c r="F12" i="7"/>
  <c r="H26" i="6"/>
  <c r="A20" i="7"/>
  <c r="C19" i="7"/>
  <c r="D15" i="11"/>
  <c r="D18" i="11" l="1"/>
  <c r="D30" i="11" s="1"/>
  <c r="D34" i="11" s="1"/>
  <c r="E32" i="11" s="1"/>
  <c r="D19" i="7"/>
  <c r="J9" i="6"/>
  <c r="J17" i="6"/>
  <c r="J8" i="6"/>
  <c r="J12" i="11" s="1"/>
  <c r="I25" i="6"/>
  <c r="C20" i="7"/>
  <c r="A21" i="7"/>
  <c r="L4" i="6"/>
  <c r="K21" i="6"/>
  <c r="I26" i="6"/>
  <c r="G12" i="7"/>
  <c r="E27" i="11"/>
  <c r="I14" i="11"/>
  <c r="I27" i="6"/>
  <c r="E7" i="11"/>
  <c r="E49" i="1"/>
  <c r="E43" i="1"/>
  <c r="E45" i="1" s="1"/>
  <c r="D10" i="6" l="1"/>
  <c r="D11" i="6" s="1"/>
  <c r="D51" i="1" s="1"/>
  <c r="E6" i="11"/>
  <c r="E46" i="1"/>
  <c r="E14" i="6"/>
  <c r="E13" i="7"/>
  <c r="B13" i="7"/>
  <c r="D20" i="7"/>
  <c r="J14" i="11"/>
  <c r="J27" i="6"/>
  <c r="E16" i="11"/>
  <c r="M4" i="6"/>
  <c r="L21" i="6"/>
  <c r="K9" i="6"/>
  <c r="K13" i="11" s="1"/>
  <c r="K17" i="6"/>
  <c r="K8" i="6"/>
  <c r="K12" i="11" s="1"/>
  <c r="J26" i="6"/>
  <c r="E8" i="11"/>
  <c r="E18" i="6"/>
  <c r="E28" i="11"/>
  <c r="E15" i="6"/>
  <c r="J13" i="11"/>
  <c r="A22" i="7"/>
  <c r="C21" i="7"/>
  <c r="J25" i="6"/>
  <c r="D24" i="6" l="1"/>
  <c r="D23" i="6"/>
  <c r="D21" i="7"/>
  <c r="K14" i="11"/>
  <c r="K27" i="6"/>
  <c r="N4" i="6"/>
  <c r="M21" i="6"/>
  <c r="F42" i="1"/>
  <c r="F13" i="7"/>
  <c r="E17" i="11"/>
  <c r="C22" i="7"/>
  <c r="A23" i="7"/>
  <c r="K26" i="6"/>
  <c r="E50" i="1"/>
  <c r="E28" i="6"/>
  <c r="E19" i="6"/>
  <c r="K25" i="6"/>
  <c r="L9" i="6"/>
  <c r="L17" i="6"/>
  <c r="L8" i="6"/>
  <c r="E15" i="11"/>
  <c r="L26" i="6" l="1"/>
  <c r="E18" i="11"/>
  <c r="E30" i="11" s="1"/>
  <c r="E34" i="11" s="1"/>
  <c r="L14" i="11"/>
  <c r="L27" i="6"/>
  <c r="A24" i="7"/>
  <c r="C23" i="7"/>
  <c r="G13" i="7"/>
  <c r="F27" i="11"/>
  <c r="F7" i="11"/>
  <c r="F49" i="1"/>
  <c r="F43" i="1"/>
  <c r="F45" i="1" s="1"/>
  <c r="L13" i="11"/>
  <c r="M17" i="6"/>
  <c r="M9" i="6"/>
  <c r="M13" i="11" s="1"/>
  <c r="M8" i="6"/>
  <c r="M12" i="11" s="1"/>
  <c r="D22" i="7"/>
  <c r="L25" i="6"/>
  <c r="L12" i="11"/>
  <c r="O4" i="6"/>
  <c r="N21" i="6"/>
  <c r="N17" i="6" l="1"/>
  <c r="N9" i="6"/>
  <c r="N13" i="11" s="1"/>
  <c r="O13" i="11" s="1"/>
  <c r="N8" i="6"/>
  <c r="N12" i="11" s="1"/>
  <c r="O12" i="11" s="1"/>
  <c r="M26" i="6"/>
  <c r="C24" i="7"/>
  <c r="A25" i="7"/>
  <c r="F32" i="11"/>
  <c r="E10" i="6"/>
  <c r="F46" i="1"/>
  <c r="F6" i="11"/>
  <c r="F14" i="6"/>
  <c r="O21" i="6"/>
  <c r="P4" i="6"/>
  <c r="F8" i="11"/>
  <c r="F18" i="6"/>
  <c r="E14" i="7"/>
  <c r="B14" i="7"/>
  <c r="M14" i="11"/>
  <c r="M27" i="6"/>
  <c r="F28" i="11"/>
  <c r="F15" i="6"/>
  <c r="M25" i="6"/>
  <c r="F16" i="11"/>
  <c r="D23" i="7"/>
  <c r="D24" i="7" l="1"/>
  <c r="F15" i="11"/>
  <c r="A26" i="7"/>
  <c r="C25" i="7"/>
  <c r="G42" i="1"/>
  <c r="F14" i="7"/>
  <c r="F17" i="11"/>
  <c r="O9" i="6"/>
  <c r="O17" i="6"/>
  <c r="O8" i="6"/>
  <c r="P12" i="11" s="1"/>
  <c r="E11" i="6"/>
  <c r="E51" i="1" s="1"/>
  <c r="E24" i="6"/>
  <c r="E23" i="6"/>
  <c r="N26" i="6"/>
  <c r="Q4" i="6"/>
  <c r="P21" i="6"/>
  <c r="N25" i="6"/>
  <c r="F50" i="1"/>
  <c r="F28" i="6"/>
  <c r="F19" i="6"/>
  <c r="N14" i="11"/>
  <c r="O14" i="11" s="1"/>
  <c r="N27" i="6"/>
  <c r="P14" i="11" l="1"/>
  <c r="O27" i="6"/>
  <c r="F18" i="11"/>
  <c r="F30" i="11" s="1"/>
  <c r="F34" i="11" s="1"/>
  <c r="P9" i="6"/>
  <c r="Q13" i="11" s="1"/>
  <c r="P17" i="6"/>
  <c r="P8" i="6"/>
  <c r="Q12" i="11" s="1"/>
  <c r="O25" i="6"/>
  <c r="G27" i="11"/>
  <c r="G14" i="7"/>
  <c r="R4" i="6"/>
  <c r="Q21" i="6"/>
  <c r="O26" i="6"/>
  <c r="D25" i="7"/>
  <c r="G7" i="11"/>
  <c r="G49" i="1"/>
  <c r="G43" i="1"/>
  <c r="P13" i="11"/>
  <c r="A27" i="7"/>
  <c r="C26" i="7"/>
  <c r="G16" i="11" l="1"/>
  <c r="Q9" i="6"/>
  <c r="R13" i="11" s="1"/>
  <c r="Q17" i="6"/>
  <c r="Q8" i="6"/>
  <c r="R12" i="11" s="1"/>
  <c r="Q14" i="11"/>
  <c r="P27" i="6"/>
  <c r="S4" i="6"/>
  <c r="R21" i="6"/>
  <c r="A28" i="7"/>
  <c r="C27" i="7"/>
  <c r="E15" i="7"/>
  <c r="B15" i="7"/>
  <c r="F10" i="6"/>
  <c r="G32" i="11"/>
  <c r="D26" i="7"/>
  <c r="P26" i="6"/>
  <c r="G8" i="11"/>
  <c r="G18" i="6"/>
  <c r="G45" i="1"/>
  <c r="G28" i="11"/>
  <c r="G15" i="6"/>
  <c r="P25" i="6"/>
  <c r="G17" i="11" l="1"/>
  <c r="G6" i="11"/>
  <c r="G46" i="1"/>
  <c r="G14" i="6"/>
  <c r="D27" i="7"/>
  <c r="Q25" i="6"/>
  <c r="A29" i="7"/>
  <c r="C28" i="7"/>
  <c r="R17" i="6"/>
  <c r="R9" i="6"/>
  <c r="R8" i="6"/>
  <c r="Q26" i="6"/>
  <c r="F11" i="6"/>
  <c r="F51" i="1" s="1"/>
  <c r="F24" i="6"/>
  <c r="F23" i="6"/>
  <c r="R14" i="11"/>
  <c r="Q27" i="6"/>
  <c r="H42" i="1"/>
  <c r="F15" i="7"/>
  <c r="S21" i="6"/>
  <c r="T4" i="6"/>
  <c r="H7" i="11" l="1"/>
  <c r="H16" i="11" s="1"/>
  <c r="H49" i="1"/>
  <c r="H43" i="1"/>
  <c r="H45" i="1" s="1"/>
  <c r="G15" i="11"/>
  <c r="H27" i="11"/>
  <c r="G15" i="7"/>
  <c r="R25" i="6"/>
  <c r="A30" i="7"/>
  <c r="C29" i="7"/>
  <c r="S12" i="11"/>
  <c r="U4" i="6"/>
  <c r="T21" i="6"/>
  <c r="S14" i="11"/>
  <c r="R27" i="6"/>
  <c r="R26" i="6"/>
  <c r="G18" i="11"/>
  <c r="G30" i="11" s="1"/>
  <c r="G34" i="11" s="1"/>
  <c r="S9" i="6"/>
  <c r="T13" i="11" s="1"/>
  <c r="S17" i="6"/>
  <c r="S8" i="6"/>
  <c r="S13" i="11"/>
  <c r="D28" i="7"/>
  <c r="G28" i="6"/>
  <c r="G19" i="6"/>
  <c r="G50" i="1"/>
  <c r="H46" i="1" l="1"/>
  <c r="H6" i="11"/>
  <c r="H14" i="6"/>
  <c r="T14" i="11"/>
  <c r="S27" i="6"/>
  <c r="C30" i="7"/>
  <c r="A31" i="7"/>
  <c r="S25" i="6"/>
  <c r="H32" i="11"/>
  <c r="G10" i="6"/>
  <c r="T17" i="6"/>
  <c r="T9" i="6"/>
  <c r="T8" i="6"/>
  <c r="U12" i="11" s="1"/>
  <c r="D29" i="7"/>
  <c r="T12" i="11"/>
  <c r="V4" i="6"/>
  <c r="U21" i="6"/>
  <c r="H8" i="11"/>
  <c r="H17" i="11" s="1"/>
  <c r="S26" i="6"/>
  <c r="U13" i="11"/>
  <c r="H28" i="11"/>
  <c r="H15" i="6"/>
  <c r="E16" i="7"/>
  <c r="B16" i="7"/>
  <c r="T26" i="6" l="1"/>
  <c r="D30" i="7"/>
  <c r="U14" i="11"/>
  <c r="T27" i="6"/>
  <c r="H28" i="6"/>
  <c r="H50" i="1"/>
  <c r="H19" i="6"/>
  <c r="I42" i="1"/>
  <c r="F16" i="7"/>
  <c r="W4" i="6"/>
  <c r="V21" i="6"/>
  <c r="G11" i="6"/>
  <c r="G51" i="1" s="1"/>
  <c r="G24" i="6"/>
  <c r="G23" i="6"/>
  <c r="H15" i="11"/>
  <c r="H18" i="11" s="1"/>
  <c r="H30" i="11" s="1"/>
  <c r="H34" i="11" s="1"/>
  <c r="U9" i="6"/>
  <c r="U17" i="6"/>
  <c r="U8" i="6"/>
  <c r="V12" i="11" s="1"/>
  <c r="T25" i="6"/>
  <c r="A32" i="7"/>
  <c r="C31" i="7"/>
  <c r="H10" i="6" l="1"/>
  <c r="I32" i="11"/>
  <c r="V14" i="11"/>
  <c r="U27" i="6"/>
  <c r="U25" i="6"/>
  <c r="I7" i="11"/>
  <c r="I16" i="11" s="1"/>
  <c r="I49" i="1"/>
  <c r="I43" i="1"/>
  <c r="D31" i="7"/>
  <c r="V9" i="6"/>
  <c r="W13" i="11" s="1"/>
  <c r="V17" i="6"/>
  <c r="V8" i="6"/>
  <c r="C32" i="7"/>
  <c r="A33" i="7"/>
  <c r="U26" i="6"/>
  <c r="X4" i="6"/>
  <c r="W21" i="6"/>
  <c r="G16" i="7"/>
  <c r="I27" i="11"/>
  <c r="V13" i="11"/>
  <c r="I18" i="6" l="1"/>
  <c r="I8" i="11"/>
  <c r="Y4" i="6"/>
  <c r="X21" i="6"/>
  <c r="V25" i="6"/>
  <c r="W12" i="11"/>
  <c r="E17" i="7"/>
  <c r="B17" i="7"/>
  <c r="W8" i="6"/>
  <c r="X12" i="11" s="1"/>
  <c r="W17" i="6"/>
  <c r="W9" i="6"/>
  <c r="X13" i="11" s="1"/>
  <c r="A34" i="7"/>
  <c r="C33" i="7"/>
  <c r="V26" i="6"/>
  <c r="I45" i="1"/>
  <c r="H11" i="6"/>
  <c r="H51" i="1" s="1"/>
  <c r="H23" i="6"/>
  <c r="H24" i="6"/>
  <c r="I28" i="11"/>
  <c r="I15" i="6"/>
  <c r="W14" i="11"/>
  <c r="V27" i="6"/>
  <c r="D32" i="7"/>
  <c r="W26" i="6" l="1"/>
  <c r="J42" i="1"/>
  <c r="F17" i="7"/>
  <c r="Z4" i="6"/>
  <c r="Y21" i="6"/>
  <c r="D33" i="7"/>
  <c r="W25" i="6"/>
  <c r="I17" i="11"/>
  <c r="X14" i="11"/>
  <c r="W27" i="6"/>
  <c r="I6" i="11"/>
  <c r="I15" i="11" s="1"/>
  <c r="I46" i="1"/>
  <c r="I14" i="6"/>
  <c r="A35" i="7"/>
  <c r="C34" i="7"/>
  <c r="X17" i="6"/>
  <c r="X9" i="6"/>
  <c r="Y13" i="11" s="1"/>
  <c r="X8" i="6"/>
  <c r="Y12" i="11" s="1"/>
  <c r="I18" i="11" l="1"/>
  <c r="I30" i="11" s="1"/>
  <c r="I34" i="11" s="1"/>
  <c r="J32" i="11" s="1"/>
  <c r="D34" i="7"/>
  <c r="J7" i="11"/>
  <c r="J16" i="11" s="1"/>
  <c r="J49" i="1"/>
  <c r="J43" i="1"/>
  <c r="A36" i="7"/>
  <c r="C35" i="7"/>
  <c r="X26" i="6"/>
  <c r="I28" i="6"/>
  <c r="I19" i="6"/>
  <c r="I50" i="1"/>
  <c r="Z21" i="6"/>
  <c r="AA4" i="6"/>
  <c r="X25" i="6"/>
  <c r="Y9" i="6"/>
  <c r="Y17" i="6"/>
  <c r="Y8" i="6"/>
  <c r="Y14" i="11"/>
  <c r="X27" i="6"/>
  <c r="G17" i="7"/>
  <c r="J27" i="11"/>
  <c r="I10" i="6" l="1"/>
  <c r="I11" i="6" s="1"/>
  <c r="I51" i="1" s="1"/>
  <c r="E18" i="7"/>
  <c r="B18" i="7"/>
  <c r="Y26" i="6"/>
  <c r="AB4" i="6"/>
  <c r="AA21" i="6"/>
  <c r="D35" i="7"/>
  <c r="C36" i="7"/>
  <c r="A37" i="7"/>
  <c r="Z13" i="11"/>
  <c r="J8" i="11"/>
  <c r="J18" i="6"/>
  <c r="Z9" i="6"/>
  <c r="AA13" i="11" s="1"/>
  <c r="Z17" i="6"/>
  <c r="Z8" i="6"/>
  <c r="AA12" i="11" s="1"/>
  <c r="Y25" i="6"/>
  <c r="J28" i="11"/>
  <c r="J15" i="6"/>
  <c r="Z14" i="11"/>
  <c r="Y27" i="6"/>
  <c r="Z12" i="11"/>
  <c r="J45" i="1"/>
  <c r="I23" i="6" l="1"/>
  <c r="I24" i="6"/>
  <c r="AB13" i="11"/>
  <c r="AB12" i="11"/>
  <c r="A38" i="7"/>
  <c r="C37" i="7"/>
  <c r="J6" i="11"/>
  <c r="J15" i="11" s="1"/>
  <c r="J46" i="1"/>
  <c r="J14" i="6"/>
  <c r="J17" i="11"/>
  <c r="D36" i="7"/>
  <c r="AA9" i="6"/>
  <c r="AC13" i="11" s="1"/>
  <c r="AA17" i="6"/>
  <c r="AA8" i="6"/>
  <c r="AC12" i="11" s="1"/>
  <c r="Z25" i="6"/>
  <c r="AA14" i="11"/>
  <c r="AB14" i="11" s="1"/>
  <c r="Z27" i="6"/>
  <c r="Z26" i="6"/>
  <c r="AC4" i="6"/>
  <c r="AB21" i="6"/>
  <c r="K42" i="1"/>
  <c r="F18" i="7"/>
  <c r="K27" i="11" l="1"/>
  <c r="G18" i="7"/>
  <c r="K7" i="11"/>
  <c r="K16" i="11" s="1"/>
  <c r="K49" i="1"/>
  <c r="K43" i="1"/>
  <c r="K45" i="1" s="1"/>
  <c r="K14" i="6" s="1"/>
  <c r="AA25" i="6"/>
  <c r="AB17" i="6"/>
  <c r="AB9" i="6"/>
  <c r="AD13" i="11" s="1"/>
  <c r="AB8" i="6"/>
  <c r="AC14" i="11"/>
  <c r="AA27" i="6"/>
  <c r="AD4" i="6"/>
  <c r="AC21" i="6"/>
  <c r="AA26" i="6"/>
  <c r="D37" i="7"/>
  <c r="J18" i="11"/>
  <c r="J30" i="11" s="1"/>
  <c r="J34" i="11" s="1"/>
  <c r="J28" i="6"/>
  <c r="J19" i="6"/>
  <c r="J50" i="1"/>
  <c r="C38" i="7"/>
  <c r="A39" i="7"/>
  <c r="AC17" i="6" l="1"/>
  <c r="AC9" i="6"/>
  <c r="AE13" i="11" s="1"/>
  <c r="AC8" i="6"/>
  <c r="AD14" i="11"/>
  <c r="AB27" i="6"/>
  <c r="K8" i="11"/>
  <c r="K18" i="6"/>
  <c r="B19" i="7"/>
  <c r="E19" i="7"/>
  <c r="D38" i="7"/>
  <c r="K46" i="1"/>
  <c r="K6" i="11"/>
  <c r="J10" i="6"/>
  <c r="K32" i="11"/>
  <c r="AE12" i="11"/>
  <c r="AB25" i="6"/>
  <c r="A40" i="7"/>
  <c r="C39" i="7"/>
  <c r="K50" i="1"/>
  <c r="AE4" i="6"/>
  <c r="AD21" i="6"/>
  <c r="K28" i="11"/>
  <c r="K15" i="6"/>
  <c r="K19" i="6" s="1"/>
  <c r="AB26" i="6"/>
  <c r="AD12" i="11"/>
  <c r="K15" i="11" l="1"/>
  <c r="K28" i="6"/>
  <c r="C40" i="7"/>
  <c r="A41" i="7"/>
  <c r="AC26" i="6"/>
  <c r="K17" i="11"/>
  <c r="AE14" i="11"/>
  <c r="AC27" i="6"/>
  <c r="AF4" i="6"/>
  <c r="AE21" i="6"/>
  <c r="AD17" i="6"/>
  <c r="AD9" i="6"/>
  <c r="AD8" i="6"/>
  <c r="AF12" i="11" s="1"/>
  <c r="D39" i="7"/>
  <c r="J11" i="6"/>
  <c r="J51" i="1" s="1"/>
  <c r="J23" i="6"/>
  <c r="J24" i="6"/>
  <c r="L42" i="1"/>
  <c r="F19" i="7"/>
  <c r="AC25" i="6"/>
  <c r="K18" i="11" l="1"/>
  <c r="K30" i="11" s="1"/>
  <c r="K34" i="11" s="1"/>
  <c r="L32" i="11" s="1"/>
  <c r="AD26" i="6"/>
  <c r="L7" i="11"/>
  <c r="L16" i="11" s="1"/>
  <c r="L49" i="1"/>
  <c r="L43" i="1"/>
  <c r="L45" i="1" s="1"/>
  <c r="AD25" i="6"/>
  <c r="AF13" i="11"/>
  <c r="A42" i="7"/>
  <c r="C41" i="7"/>
  <c r="AF14" i="11"/>
  <c r="AD27" i="6"/>
  <c r="D40" i="7"/>
  <c r="AE9" i="6"/>
  <c r="AE17" i="6"/>
  <c r="AE8" i="6"/>
  <c r="AF21" i="6"/>
  <c r="AG4" i="6"/>
  <c r="L27" i="11"/>
  <c r="G19" i="7"/>
  <c r="K10" i="6" l="1"/>
  <c r="K23" i="6" s="1"/>
  <c r="L6" i="11"/>
  <c r="L46" i="1"/>
  <c r="L14" i="6"/>
  <c r="AH4" i="6"/>
  <c r="AG21" i="6"/>
  <c r="AE26" i="6"/>
  <c r="D41" i="7"/>
  <c r="AG13" i="11"/>
  <c r="AF17" i="6"/>
  <c r="AF9" i="6"/>
  <c r="AH13" i="11" s="1"/>
  <c r="AF8" i="6"/>
  <c r="K11" i="6"/>
  <c r="K51" i="1" s="1"/>
  <c r="B20" i="7"/>
  <c r="E20" i="7"/>
  <c r="AE25" i="6"/>
  <c r="AG12" i="11"/>
  <c r="A43" i="7"/>
  <c r="C42" i="7"/>
  <c r="L28" i="11"/>
  <c r="L15" i="6"/>
  <c r="AG14" i="11"/>
  <c r="AE27" i="6"/>
  <c r="L8" i="11"/>
  <c r="L18" i="6"/>
  <c r="K24" i="6" l="1"/>
  <c r="A44" i="7"/>
  <c r="C43" i="7"/>
  <c r="L17" i="11"/>
  <c r="D42" i="7"/>
  <c r="M42" i="1"/>
  <c r="F20" i="7"/>
  <c r="AF25" i="6"/>
  <c r="AF26" i="6"/>
  <c r="AG17" i="6"/>
  <c r="AG9" i="6"/>
  <c r="AI13" i="11" s="1"/>
  <c r="AG8" i="6"/>
  <c r="L28" i="6"/>
  <c r="L19" i="6"/>
  <c r="L50" i="1"/>
  <c r="AH12" i="11"/>
  <c r="AH14" i="11"/>
  <c r="AF27" i="6"/>
  <c r="AI4" i="6"/>
  <c r="AH21" i="6"/>
  <c r="L15" i="11"/>
  <c r="L18" i="11" l="1"/>
  <c r="L30" i="11" s="1"/>
  <c r="L34" i="11" s="1"/>
  <c r="M32" i="11" s="1"/>
  <c r="AH9" i="6"/>
  <c r="AH17" i="6"/>
  <c r="AH8" i="6"/>
  <c r="M7" i="11"/>
  <c r="M16" i="11" s="1"/>
  <c r="M49" i="1"/>
  <c r="M43" i="1"/>
  <c r="AI21" i="6"/>
  <c r="AJ4" i="6"/>
  <c r="G20" i="7"/>
  <c r="M27" i="11"/>
  <c r="AG25" i="6"/>
  <c r="AG26" i="6"/>
  <c r="AJ13" i="11"/>
  <c r="AI12" i="11"/>
  <c r="D43" i="7"/>
  <c r="L10" i="6"/>
  <c r="AI14" i="11"/>
  <c r="AG27" i="6"/>
  <c r="C44" i="7"/>
  <c r="A45" i="7"/>
  <c r="D44" i="7" l="1"/>
  <c r="AI9" i="6"/>
  <c r="AK13" i="11" s="1"/>
  <c r="AI17" i="6"/>
  <c r="AI8" i="6"/>
  <c r="AK12" i="11" s="1"/>
  <c r="M8" i="11"/>
  <c r="M18" i="6"/>
  <c r="AH25" i="6"/>
  <c r="L11" i="6"/>
  <c r="L51" i="1" s="1"/>
  <c r="L24" i="6"/>
  <c r="L23" i="6"/>
  <c r="E21" i="7"/>
  <c r="B21" i="7"/>
  <c r="M45" i="1"/>
  <c r="AJ14" i="11"/>
  <c r="AH27" i="6"/>
  <c r="M28" i="11"/>
  <c r="M15" i="6"/>
  <c r="A46" i="7"/>
  <c r="C45" i="7"/>
  <c r="AJ12" i="11"/>
  <c r="AJ21" i="6"/>
  <c r="AK4" i="6"/>
  <c r="AH26" i="6"/>
  <c r="AJ17" i="6" l="1"/>
  <c r="AJ9" i="6"/>
  <c r="AL13" i="11" s="1"/>
  <c r="AJ8" i="6"/>
  <c r="AL12" i="11" s="1"/>
  <c r="M17" i="11"/>
  <c r="AK14" i="11"/>
  <c r="AI27" i="6"/>
  <c r="D45" i="7"/>
  <c r="N42" i="1"/>
  <c r="F21" i="7"/>
  <c r="AI26" i="6"/>
  <c r="AL4" i="6"/>
  <c r="AL21" i="6" s="1"/>
  <c r="AK21" i="6"/>
  <c r="A47" i="7"/>
  <c r="C46" i="7"/>
  <c r="M46" i="1"/>
  <c r="M6" i="11"/>
  <c r="M15" i="11" s="1"/>
  <c r="M18" i="11" s="1"/>
  <c r="M30" i="11" s="1"/>
  <c r="M34" i="11" s="1"/>
  <c r="M14" i="6"/>
  <c r="AI25" i="6"/>
  <c r="M10" i="6" l="1"/>
  <c r="N32" i="11"/>
  <c r="G21" i="7"/>
  <c r="N27" i="11"/>
  <c r="M50" i="1"/>
  <c r="M28" i="6"/>
  <c r="M19" i="6"/>
  <c r="A48" i="7"/>
  <c r="C47" i="7"/>
  <c r="AJ25" i="6"/>
  <c r="AJ26" i="6"/>
  <c r="AL9" i="6"/>
  <c r="AL26" i="6" s="1"/>
  <c r="AL17" i="6"/>
  <c r="AL8" i="6"/>
  <c r="N7" i="11"/>
  <c r="N49" i="1"/>
  <c r="O42" i="1"/>
  <c r="O49" i="1" s="1"/>
  <c r="N43" i="1"/>
  <c r="N45" i="1" s="1"/>
  <c r="AL14" i="11"/>
  <c r="AJ27" i="6"/>
  <c r="AK17" i="6"/>
  <c r="AK9" i="6"/>
  <c r="AK8" i="6"/>
  <c r="D46" i="7"/>
  <c r="AK26" i="6" l="1"/>
  <c r="AN13" i="11"/>
  <c r="N6" i="11"/>
  <c r="N46" i="1"/>
  <c r="AN14" i="11"/>
  <c r="AL27" i="6"/>
  <c r="B22" i="7"/>
  <c r="E22" i="7"/>
  <c r="D47" i="7"/>
  <c r="N8" i="11"/>
  <c r="O43" i="1"/>
  <c r="O45" i="1" s="1"/>
  <c r="O46" i="1" s="1"/>
  <c r="N16" i="11"/>
  <c r="O16" i="11" s="1"/>
  <c r="O7" i="11"/>
  <c r="C48" i="7"/>
  <c r="A49" i="7"/>
  <c r="M11" i="6"/>
  <c r="M51" i="1" s="1"/>
  <c r="M24" i="6"/>
  <c r="M23" i="6"/>
  <c r="AM14" i="11"/>
  <c r="AK27" i="6"/>
  <c r="N14" i="6"/>
  <c r="AN12" i="11"/>
  <c r="AK25" i="6"/>
  <c r="AL25" i="6"/>
  <c r="AM13" i="11"/>
  <c r="AM12" i="11"/>
  <c r="N28" i="11"/>
  <c r="O27" i="11"/>
  <c r="O28" i="11" s="1"/>
  <c r="N15" i="6"/>
  <c r="AO12" i="11" l="1"/>
  <c r="AO13" i="11"/>
  <c r="D48" i="7"/>
  <c r="O8" i="11"/>
  <c r="N17" i="11"/>
  <c r="N15" i="11"/>
  <c r="O6" i="11"/>
  <c r="AO14" i="11"/>
  <c r="P42" i="1"/>
  <c r="F22" i="7"/>
  <c r="N50" i="1"/>
  <c r="N28" i="6"/>
  <c r="N19" i="6"/>
  <c r="O50" i="1"/>
  <c r="A50" i="7"/>
  <c r="C49" i="7"/>
  <c r="O15" i="11" l="1"/>
  <c r="A51" i="7"/>
  <c r="C50" i="7"/>
  <c r="G22" i="7"/>
  <c r="P27" i="11"/>
  <c r="D49" i="7"/>
  <c r="P7" i="11"/>
  <c r="P49" i="1"/>
  <c r="P43" i="1"/>
  <c r="N18" i="11"/>
  <c r="N30" i="11" s="1"/>
  <c r="N34" i="11" s="1"/>
  <c r="N10" i="6" s="1"/>
  <c r="O17" i="11"/>
  <c r="O18" i="11" l="1"/>
  <c r="O30" i="11" s="1"/>
  <c r="O34" i="11" s="1"/>
  <c r="P32" i="11" s="1"/>
  <c r="AB32" i="11" s="1"/>
  <c r="E23" i="7"/>
  <c r="B23" i="7"/>
  <c r="N24" i="6"/>
  <c r="N11" i="6"/>
  <c r="N23" i="6"/>
  <c r="P16" i="11"/>
  <c r="P28" i="11"/>
  <c r="O15" i="6"/>
  <c r="O18" i="6"/>
  <c r="P8" i="11"/>
  <c r="D50" i="7"/>
  <c r="P45" i="1"/>
  <c r="A52" i="7"/>
  <c r="C51" i="7"/>
  <c r="P17" i="11" l="1"/>
  <c r="O51" i="1"/>
  <c r="N51" i="1"/>
  <c r="D51" i="7"/>
  <c r="C52" i="7"/>
  <c r="A53" i="7"/>
  <c r="P46" i="1"/>
  <c r="P6" i="11"/>
  <c r="O14" i="6"/>
  <c r="Q42" i="1"/>
  <c r="F23" i="7"/>
  <c r="Q7" i="11" l="1"/>
  <c r="Q49" i="1"/>
  <c r="Q43" i="1"/>
  <c r="Q27" i="11"/>
  <c r="G23" i="7"/>
  <c r="P15" i="11"/>
  <c r="P18" i="11" s="1"/>
  <c r="P30" i="11" s="1"/>
  <c r="P34" i="11" s="1"/>
  <c r="A54" i="7"/>
  <c r="C53" i="7"/>
  <c r="D52" i="7"/>
  <c r="O28" i="6"/>
  <c r="P50" i="1"/>
  <c r="O19" i="6"/>
  <c r="O10" i="6" l="1"/>
  <c r="Q32" i="11"/>
  <c r="Q8" i="11"/>
  <c r="P18" i="6"/>
  <c r="Q45" i="1"/>
  <c r="D53" i="7"/>
  <c r="B24" i="7"/>
  <c r="E24" i="7"/>
  <c r="Q16" i="11"/>
  <c r="C54" i="7"/>
  <c r="A55" i="7"/>
  <c r="Q28" i="11"/>
  <c r="P15" i="6"/>
  <c r="D54" i="7" l="1"/>
  <c r="R42" i="1"/>
  <c r="F24" i="7"/>
  <c r="Q46" i="1"/>
  <c r="Q6" i="11"/>
  <c r="P14" i="6"/>
  <c r="A56" i="7"/>
  <c r="C55" i="7"/>
  <c r="Q17" i="11"/>
  <c r="O11" i="6"/>
  <c r="P51" i="1" s="1"/>
  <c r="O24" i="6"/>
  <c r="O23" i="6"/>
  <c r="C56" i="7" l="1"/>
  <c r="A57" i="7"/>
  <c r="Q50" i="1"/>
  <c r="P28" i="6"/>
  <c r="P19" i="6"/>
  <c r="R27" i="11"/>
  <c r="G24" i="7"/>
  <c r="D55" i="7"/>
  <c r="Q15" i="11"/>
  <c r="Q18" i="11" s="1"/>
  <c r="Q30" i="11" s="1"/>
  <c r="Q34" i="11" s="1"/>
  <c r="R7" i="11"/>
  <c r="R49" i="1"/>
  <c r="R43" i="1"/>
  <c r="R45" i="1" s="1"/>
  <c r="R6" i="11" l="1"/>
  <c r="R46" i="1"/>
  <c r="Q14" i="6"/>
  <c r="R32" i="11"/>
  <c r="P10" i="6"/>
  <c r="D56" i="7"/>
  <c r="R8" i="11"/>
  <c r="Q18" i="6"/>
  <c r="R16" i="11"/>
  <c r="R28" i="11"/>
  <c r="Q15" i="6"/>
  <c r="E25" i="7"/>
  <c r="B25" i="7"/>
  <c r="A58" i="7"/>
  <c r="C57" i="7"/>
  <c r="D57" i="7" l="1"/>
  <c r="A59" i="7"/>
  <c r="C58" i="7"/>
  <c r="Q19" i="6"/>
  <c r="R50" i="1"/>
  <c r="Q28" i="6"/>
  <c r="R17" i="11"/>
  <c r="S42" i="1"/>
  <c r="F25" i="7"/>
  <c r="P11" i="6"/>
  <c r="Q51" i="1" s="1"/>
  <c r="P23" i="6"/>
  <c r="P24" i="6"/>
  <c r="R15" i="11"/>
  <c r="R18" i="11" l="1"/>
  <c r="R30" i="11" s="1"/>
  <c r="R34" i="11" s="1"/>
  <c r="S32" i="11" s="1"/>
  <c r="A60" i="7"/>
  <c r="C59" i="7"/>
  <c r="D58" i="7"/>
  <c r="S27" i="11"/>
  <c r="G25" i="7"/>
  <c r="S7" i="11"/>
  <c r="S49" i="1"/>
  <c r="S43" i="1"/>
  <c r="S45" i="1" s="1"/>
  <c r="Q10" i="6" l="1"/>
  <c r="Q11" i="6" s="1"/>
  <c r="R51" i="1" s="1"/>
  <c r="S46" i="1"/>
  <c r="S6" i="11"/>
  <c r="R14" i="6"/>
  <c r="B26" i="7"/>
  <c r="E26" i="7"/>
  <c r="D59" i="7"/>
  <c r="S28" i="11"/>
  <c r="R15" i="6"/>
  <c r="S8" i="11"/>
  <c r="R18" i="6"/>
  <c r="A61" i="7"/>
  <c r="C60" i="7"/>
  <c r="S16" i="11"/>
  <c r="Q24" i="6" l="1"/>
  <c r="Q23" i="6"/>
  <c r="A62" i="7"/>
  <c r="C61" i="7"/>
  <c r="S50" i="1"/>
  <c r="R28" i="6"/>
  <c r="R19" i="6"/>
  <c r="S15" i="11"/>
  <c r="S17" i="11"/>
  <c r="D60" i="7"/>
  <c r="T42" i="1"/>
  <c r="F26" i="7"/>
  <c r="D61" i="7" l="1"/>
  <c r="T7" i="11"/>
  <c r="T49" i="1"/>
  <c r="T43" i="1"/>
  <c r="C62" i="7"/>
  <c r="A63" i="7"/>
  <c r="T27" i="11"/>
  <c r="G26" i="7"/>
  <c r="S18" i="11"/>
  <c r="S30" i="11" s="1"/>
  <c r="S34" i="11" s="1"/>
  <c r="D62" i="7" l="1"/>
  <c r="A64" i="7"/>
  <c r="C63" i="7"/>
  <c r="R10" i="6"/>
  <c r="T32" i="11"/>
  <c r="T16" i="11"/>
  <c r="B27" i="7"/>
  <c r="E27" i="7"/>
  <c r="T28" i="11"/>
  <c r="S15" i="6"/>
  <c r="T8" i="11"/>
  <c r="S18" i="6"/>
  <c r="T45" i="1"/>
  <c r="T6" i="11" l="1"/>
  <c r="T46" i="1"/>
  <c r="S14" i="6"/>
  <c r="D63" i="7"/>
  <c r="T17" i="11"/>
  <c r="C64" i="7"/>
  <c r="A65" i="7"/>
  <c r="U42" i="1"/>
  <c r="F27" i="7"/>
  <c r="R11" i="6"/>
  <c r="S51" i="1" s="1"/>
  <c r="R23" i="6"/>
  <c r="R24" i="6"/>
  <c r="U7" i="11" l="1"/>
  <c r="U16" i="11" s="1"/>
  <c r="U49" i="1"/>
  <c r="U43" i="1"/>
  <c r="U8" i="11" s="1"/>
  <c r="U17" i="11" s="1"/>
  <c r="A66" i="7"/>
  <c r="C65" i="7"/>
  <c r="S28" i="6"/>
  <c r="S19" i="6"/>
  <c r="T50" i="1"/>
  <c r="D64" i="7"/>
  <c r="U27" i="11"/>
  <c r="G27" i="7"/>
  <c r="T15" i="11"/>
  <c r="T18" i="11" s="1"/>
  <c r="T30" i="11" s="1"/>
  <c r="T34" i="11" s="1"/>
  <c r="U28" i="11" l="1"/>
  <c r="T15" i="6"/>
  <c r="U45" i="1"/>
  <c r="U32" i="11"/>
  <c r="S10" i="6"/>
  <c r="D65" i="7"/>
  <c r="A67" i="7"/>
  <c r="C66" i="7"/>
  <c r="B28" i="7"/>
  <c r="E28" i="7"/>
  <c r="D66" i="7" l="1"/>
  <c r="A68" i="7"/>
  <c r="C67" i="7"/>
  <c r="V42" i="1"/>
  <c r="F28" i="7"/>
  <c r="S11" i="6"/>
  <c r="T51" i="1" s="1"/>
  <c r="S24" i="6"/>
  <c r="S23" i="6"/>
  <c r="U46" i="1"/>
  <c r="U6" i="11"/>
  <c r="U15" i="11" s="1"/>
  <c r="U18" i="11" s="1"/>
  <c r="U30" i="11" s="1"/>
  <c r="U34" i="11" s="1"/>
  <c r="T14" i="6"/>
  <c r="V32" i="11" l="1"/>
  <c r="T10" i="6"/>
  <c r="V7" i="11"/>
  <c r="V16" i="11" s="1"/>
  <c r="V49" i="1"/>
  <c r="V43" i="1"/>
  <c r="G28" i="7"/>
  <c r="V27" i="11"/>
  <c r="D67" i="7"/>
  <c r="C68" i="7"/>
  <c r="A69" i="7"/>
  <c r="T28" i="6"/>
  <c r="U50" i="1"/>
  <c r="T19" i="6"/>
  <c r="D68" i="7" l="1"/>
  <c r="V28" i="11"/>
  <c r="U15" i="6"/>
  <c r="V8" i="11"/>
  <c r="U18" i="6"/>
  <c r="T24" i="6"/>
  <c r="T23" i="6"/>
  <c r="T11" i="6"/>
  <c r="U51" i="1" s="1"/>
  <c r="E29" i="7"/>
  <c r="B29" i="7"/>
  <c r="A70" i="7"/>
  <c r="C69" i="7"/>
  <c r="V45" i="1"/>
  <c r="D69" i="7" l="1"/>
  <c r="A71" i="7"/>
  <c r="C70" i="7"/>
  <c r="W42" i="1"/>
  <c r="F29" i="7"/>
  <c r="V17" i="11"/>
  <c r="V6" i="11"/>
  <c r="V15" i="11" s="1"/>
  <c r="V46" i="1"/>
  <c r="U14" i="6"/>
  <c r="V18" i="11" l="1"/>
  <c r="V30" i="11" s="1"/>
  <c r="V34" i="11" s="1"/>
  <c r="U10" i="6" s="1"/>
  <c r="V50" i="1"/>
  <c r="U28" i="6"/>
  <c r="U19" i="6"/>
  <c r="G29" i="7"/>
  <c r="W27" i="11"/>
  <c r="A72" i="7"/>
  <c r="C71" i="7"/>
  <c r="W7" i="11"/>
  <c r="W16" i="11" s="1"/>
  <c r="W49" i="1"/>
  <c r="W43" i="1"/>
  <c r="W45" i="1" s="1"/>
  <c r="D70" i="7"/>
  <c r="W32" i="11" l="1"/>
  <c r="W8" i="11"/>
  <c r="V18" i="6"/>
  <c r="D71" i="7"/>
  <c r="W6" i="11"/>
  <c r="W46" i="1"/>
  <c r="C72" i="7"/>
  <c r="A73" i="7"/>
  <c r="U11" i="6"/>
  <c r="V51" i="1" s="1"/>
  <c r="U24" i="6"/>
  <c r="U23" i="6"/>
  <c r="W28" i="11"/>
  <c r="V15" i="6"/>
  <c r="V14" i="6"/>
  <c r="B30" i="7"/>
  <c r="E30" i="7"/>
  <c r="W15" i="11" l="1"/>
  <c r="D72" i="7"/>
  <c r="A74" i="7"/>
  <c r="C73" i="7"/>
  <c r="W50" i="1"/>
  <c r="V28" i="6"/>
  <c r="V19" i="6"/>
  <c r="W17" i="11"/>
  <c r="X42" i="1"/>
  <c r="F30" i="7"/>
  <c r="W18" i="11" l="1"/>
  <c r="W30" i="11" s="1"/>
  <c r="W34" i="11" s="1"/>
  <c r="V10" i="6" s="1"/>
  <c r="X7" i="11"/>
  <c r="X16" i="11" s="1"/>
  <c r="X49" i="1"/>
  <c r="X43" i="1"/>
  <c r="X45" i="1" s="1"/>
  <c r="D73" i="7"/>
  <c r="G30" i="7"/>
  <c r="X27" i="11"/>
  <c r="A75" i="7"/>
  <c r="C74" i="7"/>
  <c r="X32" i="11" l="1"/>
  <c r="X46" i="1"/>
  <c r="X6" i="11"/>
  <c r="W14" i="6"/>
  <c r="E31" i="7"/>
  <c r="B31" i="7"/>
  <c r="D74" i="7"/>
  <c r="V11" i="6"/>
  <c r="W51" i="1" s="1"/>
  <c r="V24" i="6"/>
  <c r="V23" i="6"/>
  <c r="A76" i="7"/>
  <c r="C75" i="7"/>
  <c r="X28" i="11"/>
  <c r="W15" i="6"/>
  <c r="X8" i="11"/>
  <c r="W18" i="6"/>
  <c r="D75" i="7" l="1"/>
  <c r="X17" i="11"/>
  <c r="Y42" i="1"/>
  <c r="F31" i="7"/>
  <c r="X15" i="11"/>
  <c r="C76" i="7"/>
  <c r="A77" i="7"/>
  <c r="W19" i="6"/>
  <c r="X50" i="1"/>
  <c r="W28" i="6"/>
  <c r="D76" i="7" l="1"/>
  <c r="A78" i="7"/>
  <c r="C77" i="7"/>
  <c r="Y7" i="11"/>
  <c r="Y16" i="11" s="1"/>
  <c r="Y49" i="1"/>
  <c r="Y43" i="1"/>
  <c r="X18" i="11"/>
  <c r="X30" i="11" s="1"/>
  <c r="X34" i="11" s="1"/>
  <c r="Y27" i="11"/>
  <c r="G31" i="7"/>
  <c r="Y32" i="11" l="1"/>
  <c r="W10" i="6"/>
  <c r="B32" i="7"/>
  <c r="E32" i="7"/>
  <c r="D77" i="7"/>
  <c r="Y8" i="11"/>
  <c r="X18" i="6"/>
  <c r="Y28" i="11"/>
  <c r="X15" i="6"/>
  <c r="Y45" i="1"/>
  <c r="A79" i="7"/>
  <c r="C78" i="7"/>
  <c r="D78" i="7" l="1"/>
  <c r="W11" i="6"/>
  <c r="X51" i="1" s="1"/>
  <c r="W24" i="6"/>
  <c r="W23" i="6"/>
  <c r="Y6" i="11"/>
  <c r="Y15" i="11" s="1"/>
  <c r="Y46" i="1"/>
  <c r="X14" i="6"/>
  <c r="Z42" i="1"/>
  <c r="F32" i="7"/>
  <c r="A80" i="7"/>
  <c r="C79" i="7"/>
  <c r="Y17" i="11"/>
  <c r="Y18" i="11" l="1"/>
  <c r="Y30" i="11" s="1"/>
  <c r="Y34" i="11" s="1"/>
  <c r="Z32" i="11" s="1"/>
  <c r="D79" i="7"/>
  <c r="Z27" i="11"/>
  <c r="G32" i="7"/>
  <c r="Y50" i="1"/>
  <c r="X28" i="6"/>
  <c r="X19" i="6"/>
  <c r="C80" i="7"/>
  <c r="A81" i="7"/>
  <c r="Z7" i="11"/>
  <c r="Z16" i="11" s="1"/>
  <c r="Z49" i="1"/>
  <c r="Z43" i="1"/>
  <c r="Z45" i="1" s="1"/>
  <c r="Y14" i="6" s="1"/>
  <c r="X10" i="6" l="1"/>
  <c r="X23" i="6" s="1"/>
  <c r="Z50" i="1"/>
  <c r="D80" i="7"/>
  <c r="E33" i="7"/>
  <c r="B33" i="7"/>
  <c r="Z46" i="1"/>
  <c r="Z6" i="11"/>
  <c r="Z8" i="11"/>
  <c r="Y18" i="6"/>
  <c r="A82" i="7"/>
  <c r="C81" i="7"/>
  <c r="Z28" i="11"/>
  <c r="Y15" i="6"/>
  <c r="Y19" i="6" s="1"/>
  <c r="X24" i="6" l="1"/>
  <c r="X11" i="6"/>
  <c r="Y51" i="1" s="1"/>
  <c r="Z15" i="11"/>
  <c r="Y28" i="6"/>
  <c r="D81" i="7"/>
  <c r="A83" i="7"/>
  <c r="C82" i="7"/>
  <c r="Z17" i="11"/>
  <c r="AA42" i="1"/>
  <c r="F33" i="7"/>
  <c r="Z18" i="11" l="1"/>
  <c r="Z30" i="11" s="1"/>
  <c r="Z34" i="11" s="1"/>
  <c r="AA32" i="11" s="1"/>
  <c r="D82" i="7"/>
  <c r="A84" i="7"/>
  <c r="C83" i="7"/>
  <c r="AA27" i="11"/>
  <c r="G33" i="7"/>
  <c r="AA7" i="11"/>
  <c r="AA49" i="1"/>
  <c r="AA43" i="1"/>
  <c r="AA45" i="1" s="1"/>
  <c r="AB42" i="1"/>
  <c r="AB49" i="1" s="1"/>
  <c r="Y10" i="6" l="1"/>
  <c r="Y24" i="6" s="1"/>
  <c r="A85" i="7"/>
  <c r="C84" i="7"/>
  <c r="AA16" i="11"/>
  <c r="AB16" i="11" s="1"/>
  <c r="AB7" i="11"/>
  <c r="AA28" i="11"/>
  <c r="AB27" i="11"/>
  <c r="AB28" i="11" s="1"/>
  <c r="Z15" i="6"/>
  <c r="AA6" i="11"/>
  <c r="AA46" i="1"/>
  <c r="Z14" i="6"/>
  <c r="E34" i="7"/>
  <c r="B34" i="7"/>
  <c r="AA8" i="11"/>
  <c r="AB43" i="1"/>
  <c r="AB45" i="1" s="1"/>
  <c r="AB46" i="1" s="1"/>
  <c r="D83" i="7"/>
  <c r="Y23" i="6" l="1"/>
  <c r="Y11" i="6"/>
  <c r="Z51" i="1" s="1"/>
  <c r="AB8" i="11"/>
  <c r="AA17" i="11"/>
  <c r="Z28" i="6"/>
  <c r="AB50" i="1"/>
  <c r="Z19" i="6"/>
  <c r="AA50" i="1"/>
  <c r="AC42" i="1"/>
  <c r="F34" i="7"/>
  <c r="AA15" i="11"/>
  <c r="AB6" i="11"/>
  <c r="A86" i="7"/>
  <c r="C85" i="7"/>
  <c r="D84" i="7"/>
  <c r="AB15" i="11" l="1"/>
  <c r="D85" i="7"/>
  <c r="G34" i="7"/>
  <c r="AC27" i="11"/>
  <c r="AA18" i="11"/>
  <c r="AA30" i="11" s="1"/>
  <c r="AA34" i="11" s="1"/>
  <c r="Z10" i="6" s="1"/>
  <c r="AB17" i="11"/>
  <c r="C86" i="7"/>
  <c r="A87" i="7"/>
  <c r="AC7" i="11"/>
  <c r="AC49" i="1"/>
  <c r="AC43" i="1"/>
  <c r="AB18" i="11" l="1"/>
  <c r="AB30" i="11" s="1"/>
  <c r="AB34" i="11" s="1"/>
  <c r="AC32" i="11" s="1"/>
  <c r="AO32" i="11" s="1"/>
  <c r="Z11" i="6"/>
  <c r="Z24" i="6"/>
  <c r="Z23" i="6"/>
  <c r="AA18" i="6"/>
  <c r="AC8" i="11"/>
  <c r="A88" i="7"/>
  <c r="C87" i="7"/>
  <c r="AC28" i="11"/>
  <c r="AA15" i="6"/>
  <c r="AC16" i="11"/>
  <c r="AC45" i="1"/>
  <c r="D86" i="7"/>
  <c r="E35" i="7"/>
  <c r="B35" i="7"/>
  <c r="AB51" i="1" l="1"/>
  <c r="AA51" i="1"/>
  <c r="D87" i="7"/>
  <c r="AC17" i="11"/>
  <c r="AD42" i="1"/>
  <c r="F35" i="7"/>
  <c r="AC46" i="1"/>
  <c r="AC6" i="11"/>
  <c r="AA14" i="6"/>
  <c r="C88" i="7"/>
  <c r="A89" i="7"/>
  <c r="AA28" i="6" l="1"/>
  <c r="AA19" i="6"/>
  <c r="AC50" i="1"/>
  <c r="A90" i="7"/>
  <c r="C89" i="7"/>
  <c r="AC15" i="11"/>
  <c r="AC18" i="11" s="1"/>
  <c r="AC30" i="11" s="1"/>
  <c r="AC34" i="11" s="1"/>
  <c r="AD7" i="11"/>
  <c r="AD49" i="1"/>
  <c r="AD43" i="1"/>
  <c r="AD45" i="1" s="1"/>
  <c r="D88" i="7"/>
  <c r="AD27" i="11"/>
  <c r="G35" i="7"/>
  <c r="E36" i="7" l="1"/>
  <c r="B36" i="7"/>
  <c r="AD6" i="11"/>
  <c r="AD46" i="1"/>
  <c r="AD8" i="11"/>
  <c r="AB18" i="6"/>
  <c r="AD16" i="11"/>
  <c r="D89" i="7"/>
  <c r="AD32" i="11"/>
  <c r="AA10" i="6"/>
  <c r="AD28" i="11"/>
  <c r="AB15" i="6"/>
  <c r="A91" i="7"/>
  <c r="C90" i="7"/>
  <c r="AB14" i="6"/>
  <c r="AD17" i="11" l="1"/>
  <c r="AB28" i="6"/>
  <c r="AB19" i="6"/>
  <c r="AD50" i="1"/>
  <c r="A92" i="7"/>
  <c r="C91" i="7"/>
  <c r="AA11" i="6"/>
  <c r="AC51" i="1" s="1"/>
  <c r="AA23" i="6"/>
  <c r="AA24" i="6"/>
  <c r="D90" i="7"/>
  <c r="AD15" i="11"/>
  <c r="AE42" i="1"/>
  <c r="F36" i="7"/>
  <c r="D91" i="7" l="1"/>
  <c r="AD18" i="11"/>
  <c r="AD30" i="11" s="1"/>
  <c r="AD34" i="11" s="1"/>
  <c r="G36" i="7"/>
  <c r="AE27" i="11"/>
  <c r="A93" i="7"/>
  <c r="C92" i="7"/>
  <c r="AE7" i="11"/>
  <c r="AE49" i="1"/>
  <c r="AE43" i="1"/>
  <c r="AE45" i="1" s="1"/>
  <c r="AE6" i="11" l="1"/>
  <c r="AE46" i="1"/>
  <c r="AC14" i="6"/>
  <c r="A94" i="7"/>
  <c r="C93" i="7"/>
  <c r="AE8" i="11"/>
  <c r="AC18" i="6"/>
  <c r="AB10" i="6"/>
  <c r="AE32" i="11"/>
  <c r="AE16" i="11"/>
  <c r="AE28" i="11"/>
  <c r="AC15" i="6"/>
  <c r="D92" i="7"/>
  <c r="B37" i="7"/>
  <c r="E37" i="7"/>
  <c r="AF42" i="1" l="1"/>
  <c r="F37" i="7"/>
  <c r="AE17" i="11"/>
  <c r="A95" i="7"/>
  <c r="C94" i="7"/>
  <c r="AC19" i="6"/>
  <c r="AE50" i="1"/>
  <c r="AC28" i="6"/>
  <c r="AB11" i="6"/>
  <c r="AD51" i="1" s="1"/>
  <c r="AB23" i="6"/>
  <c r="AB24" i="6"/>
  <c r="D93" i="7"/>
  <c r="AE15" i="11"/>
  <c r="AE18" i="11" l="1"/>
  <c r="AE30" i="11" s="1"/>
  <c r="AE34" i="11" s="1"/>
  <c r="AC10" i="6" s="1"/>
  <c r="D94" i="7"/>
  <c r="AF27" i="11"/>
  <c r="G37" i="7"/>
  <c r="A96" i="7"/>
  <c r="C95" i="7"/>
  <c r="AF7" i="11"/>
  <c r="AF49" i="1"/>
  <c r="AF43" i="1"/>
  <c r="AF45" i="1" s="1"/>
  <c r="AF32" i="11" l="1"/>
  <c r="AF46" i="1"/>
  <c r="AF6" i="11"/>
  <c r="AD14" i="6"/>
  <c r="D95" i="7"/>
  <c r="AF8" i="11"/>
  <c r="AD18" i="6"/>
  <c r="AC11" i="6"/>
  <c r="AE51" i="1" s="1"/>
  <c r="AC23" i="6"/>
  <c r="AC24" i="6"/>
  <c r="AF16" i="11"/>
  <c r="E38" i="7"/>
  <c r="B38" i="7"/>
  <c r="C96" i="7"/>
  <c r="A97" i="7"/>
  <c r="AF28" i="11"/>
  <c r="AD15" i="6"/>
  <c r="AG42" i="1" l="1"/>
  <c r="F38" i="7"/>
  <c r="AD28" i="6"/>
  <c r="AD19" i="6"/>
  <c r="AF50" i="1"/>
  <c r="AF17" i="11"/>
  <c r="AF15" i="11"/>
  <c r="D96" i="7"/>
  <c r="A98" i="7"/>
  <c r="C97" i="7"/>
  <c r="G38" i="7" l="1"/>
  <c r="AG27" i="11"/>
  <c r="AG7" i="11"/>
  <c r="AG49" i="1"/>
  <c r="AG43" i="1"/>
  <c r="AG45" i="1" s="1"/>
  <c r="AF18" i="11"/>
  <c r="AF30" i="11" s="1"/>
  <c r="AF34" i="11" s="1"/>
  <c r="A99" i="7"/>
  <c r="C98" i="7"/>
  <c r="D97" i="7"/>
  <c r="AG6" i="11" l="1"/>
  <c r="AG46" i="1"/>
  <c r="AE14" i="6"/>
  <c r="D98" i="7"/>
  <c r="AG28" i="11"/>
  <c r="AE15" i="6"/>
  <c r="A100" i="7"/>
  <c r="C99" i="7"/>
  <c r="B39" i="7"/>
  <c r="E39" i="7"/>
  <c r="AG8" i="11"/>
  <c r="AE18" i="6"/>
  <c r="AD10" i="6"/>
  <c r="AG32" i="11"/>
  <c r="AG16" i="11"/>
  <c r="D99" i="7" l="1"/>
  <c r="AE28" i="6"/>
  <c r="AG50" i="1"/>
  <c r="AE19" i="6"/>
  <c r="AD11" i="6"/>
  <c r="AF51" i="1" s="1"/>
  <c r="AD23" i="6"/>
  <c r="AD24" i="6"/>
  <c r="C100" i="7"/>
  <c r="A101" i="7"/>
  <c r="AG17" i="11"/>
  <c r="AH42" i="1"/>
  <c r="F39" i="7"/>
  <c r="AG15" i="11"/>
  <c r="AG18" i="11" l="1"/>
  <c r="AG30" i="11" s="1"/>
  <c r="AG34" i="11" s="1"/>
  <c r="AE10" i="6" s="1"/>
  <c r="D100" i="7"/>
  <c r="AH7" i="11"/>
  <c r="AH16" i="11" s="1"/>
  <c r="AH49" i="1"/>
  <c r="AH43" i="1"/>
  <c r="AH8" i="11" s="1"/>
  <c r="AH17" i="11" s="1"/>
  <c r="AH27" i="11"/>
  <c r="G39" i="7"/>
  <c r="A102" i="7"/>
  <c r="C101" i="7"/>
  <c r="AH32" i="11" l="1"/>
  <c r="E40" i="7"/>
  <c r="B40" i="7"/>
  <c r="AH45" i="1"/>
  <c r="D101" i="7"/>
  <c r="C102" i="7"/>
  <c r="A103" i="7"/>
  <c r="AH28" i="11"/>
  <c r="AF15" i="6"/>
  <c r="AE11" i="6"/>
  <c r="AG51" i="1" s="1"/>
  <c r="AE23" i="6"/>
  <c r="AE24" i="6"/>
  <c r="AI42" i="1" l="1"/>
  <c r="F40" i="7"/>
  <c r="D102" i="7"/>
  <c r="A104" i="7"/>
  <c r="C103" i="7"/>
  <c r="AH6" i="11"/>
  <c r="AH15" i="11" s="1"/>
  <c r="AH18" i="11" s="1"/>
  <c r="AH30" i="11" s="1"/>
  <c r="AH34" i="11" s="1"/>
  <c r="AH46" i="1"/>
  <c r="AF14" i="6"/>
  <c r="AH50" i="1" l="1"/>
  <c r="AF28" i="6"/>
  <c r="AF19" i="6"/>
  <c r="D103" i="7"/>
  <c r="G40" i="7"/>
  <c r="AI27" i="11"/>
  <c r="AI7" i="11"/>
  <c r="AI16" i="11" s="1"/>
  <c r="AI49" i="1"/>
  <c r="AI43" i="1"/>
  <c r="AI45" i="1" s="1"/>
  <c r="C104" i="7"/>
  <c r="A105" i="7"/>
  <c r="AF10" i="6"/>
  <c r="AI32" i="11"/>
  <c r="A106" i="7" l="1"/>
  <c r="C105" i="7"/>
  <c r="AI6" i="11"/>
  <c r="AI46" i="1"/>
  <c r="AF24" i="6"/>
  <c r="AF11" i="6"/>
  <c r="AH51" i="1" s="1"/>
  <c r="AF23" i="6"/>
  <c r="AI8" i="11"/>
  <c r="AG18" i="6"/>
  <c r="AI28" i="11"/>
  <c r="AG15" i="6"/>
  <c r="E41" i="7"/>
  <c r="B41" i="7"/>
  <c r="D104" i="7"/>
  <c r="AG14" i="6"/>
  <c r="AI15" i="11" l="1"/>
  <c r="AG28" i="6"/>
  <c r="AG19" i="6"/>
  <c r="AI50" i="1"/>
  <c r="AJ42" i="1"/>
  <c r="F41" i="7"/>
  <c r="AI17" i="11"/>
  <c r="A107" i="7"/>
  <c r="C106" i="7"/>
  <c r="D105" i="7"/>
  <c r="AI18" i="11" l="1"/>
  <c r="AI30" i="11" s="1"/>
  <c r="AI34" i="11" s="1"/>
  <c r="AJ32" i="11" s="1"/>
  <c r="D106" i="7"/>
  <c r="A108" i="7"/>
  <c r="C107" i="7"/>
  <c r="AJ7" i="11"/>
  <c r="AJ16" i="11" s="1"/>
  <c r="AJ49" i="1"/>
  <c r="AJ43" i="1"/>
  <c r="AJ27" i="11"/>
  <c r="G41" i="7"/>
  <c r="AG10" i="6" l="1"/>
  <c r="AG24" i="6" s="1"/>
  <c r="AJ8" i="11"/>
  <c r="AH18" i="6"/>
  <c r="AJ28" i="11"/>
  <c r="AH15" i="6"/>
  <c r="AJ45" i="1"/>
  <c r="A109" i="7"/>
  <c r="C108" i="7"/>
  <c r="AG11" i="6"/>
  <c r="AI51" i="1" s="1"/>
  <c r="E42" i="7"/>
  <c r="B42" i="7"/>
  <c r="D107" i="7"/>
  <c r="AG23" i="6" l="1"/>
  <c r="A110" i="7"/>
  <c r="C109" i="7"/>
  <c r="AJ17" i="11"/>
  <c r="AJ6" i="11"/>
  <c r="AJ15" i="11" s="1"/>
  <c r="AJ46" i="1"/>
  <c r="AH14" i="6"/>
  <c r="D108" i="7"/>
  <c r="AK42" i="1"/>
  <c r="F42" i="7"/>
  <c r="G42" i="7" l="1"/>
  <c r="AK27" i="11"/>
  <c r="AH19" i="6"/>
  <c r="AJ50" i="1"/>
  <c r="AH28" i="6"/>
  <c r="A111" i="7"/>
  <c r="C110" i="7"/>
  <c r="D110" i="7" s="1"/>
  <c r="AJ18" i="11"/>
  <c r="AJ30" i="11" s="1"/>
  <c r="AJ34" i="11" s="1"/>
  <c r="D109" i="7"/>
  <c r="AK7" i="11"/>
  <c r="AK16" i="11" s="1"/>
  <c r="AK49" i="1"/>
  <c r="AK43" i="1"/>
  <c r="AK28" i="11" l="1"/>
  <c r="AI15" i="6"/>
  <c r="AK32" i="11"/>
  <c r="AH10" i="6"/>
  <c r="E43" i="7"/>
  <c r="B43" i="7"/>
  <c r="AK8" i="11"/>
  <c r="AI18" i="6"/>
  <c r="A112" i="7"/>
  <c r="C111" i="7"/>
  <c r="AK45" i="1"/>
  <c r="D111" i="7" l="1"/>
  <c r="C112" i="7"/>
  <c r="D112" i="7" s="1"/>
  <c r="A113" i="7"/>
  <c r="AL42" i="1"/>
  <c r="F43" i="7"/>
  <c r="AK6" i="11"/>
  <c r="AK15" i="11" s="1"/>
  <c r="AK46" i="1"/>
  <c r="AI14" i="6"/>
  <c r="AK17" i="11"/>
  <c r="AH11" i="6"/>
  <c r="AJ51" i="1" s="1"/>
  <c r="AH24" i="6"/>
  <c r="AH23" i="6"/>
  <c r="AL27" i="11" l="1"/>
  <c r="G43" i="7"/>
  <c r="A114" i="7"/>
  <c r="C113" i="7"/>
  <c r="D113" i="7" s="1"/>
  <c r="AK18" i="11"/>
  <c r="AK30" i="11" s="1"/>
  <c r="AK34" i="11" s="1"/>
  <c r="AI19" i="6"/>
  <c r="AK50" i="1"/>
  <c r="AI28" i="6"/>
  <c r="AL7" i="11"/>
  <c r="AL16" i="11" s="1"/>
  <c r="AL49" i="1"/>
  <c r="AL43" i="1"/>
  <c r="AL45" i="1" s="1"/>
  <c r="E44" i="7" l="1"/>
  <c r="B44" i="7"/>
  <c r="AL8" i="11"/>
  <c r="AJ18" i="6"/>
  <c r="AI10" i="6"/>
  <c r="AL32" i="11"/>
  <c r="AL28" i="11"/>
  <c r="AJ15" i="6"/>
  <c r="A115" i="7"/>
  <c r="C114" i="7"/>
  <c r="D114" i="7" s="1"/>
  <c r="AL6" i="11"/>
  <c r="AL15" i="11" s="1"/>
  <c r="AL46" i="1"/>
  <c r="AJ14" i="6"/>
  <c r="AL17" i="11" l="1"/>
  <c r="AL18" i="11" s="1"/>
  <c r="AL30" i="11" s="1"/>
  <c r="AL34" i="11" s="1"/>
  <c r="AJ19" i="6"/>
  <c r="AJ28" i="6"/>
  <c r="AL50" i="1"/>
  <c r="A116" i="7"/>
  <c r="C115" i="7"/>
  <c r="D115" i="7" s="1"/>
  <c r="AI11" i="6"/>
  <c r="AK51" i="1" s="1"/>
  <c r="AI23" i="6"/>
  <c r="AI24" i="6"/>
  <c r="AM42" i="1"/>
  <c r="F44" i="7"/>
  <c r="AM32" i="11" l="1"/>
  <c r="AJ10" i="6"/>
  <c r="C116" i="7"/>
  <c r="D116" i="7" s="1"/>
  <c r="A117" i="7"/>
  <c r="G44" i="7"/>
  <c r="AM27" i="11"/>
  <c r="AM7" i="11"/>
  <c r="AM16" i="11" s="1"/>
  <c r="AM49" i="1"/>
  <c r="AM43" i="1"/>
  <c r="A118" i="7" l="1"/>
  <c r="C117" i="7"/>
  <c r="D117" i="7" s="1"/>
  <c r="AM8" i="11"/>
  <c r="AK18" i="6"/>
  <c r="AM28" i="11"/>
  <c r="AK15" i="6"/>
  <c r="AJ11" i="6"/>
  <c r="AL51" i="1" s="1"/>
  <c r="AJ23" i="6"/>
  <c r="AJ24" i="6"/>
  <c r="AM45" i="1"/>
  <c r="B45" i="7"/>
  <c r="E45" i="7"/>
  <c r="AM46" i="1" l="1"/>
  <c r="AM6" i="11"/>
  <c r="AM15" i="11" s="1"/>
  <c r="AK14" i="6"/>
  <c r="AM17" i="11"/>
  <c r="AN42" i="1"/>
  <c r="F45" i="7"/>
  <c r="C118" i="7"/>
  <c r="D118" i="7" s="1"/>
  <c r="A119" i="7"/>
  <c r="AM18" i="11" l="1"/>
  <c r="AM30" i="11" s="1"/>
  <c r="AM34" i="11" s="1"/>
  <c r="AK10" i="6" s="1"/>
  <c r="AN27" i="11"/>
  <c r="G45" i="7"/>
  <c r="AK28" i="6"/>
  <c r="AK19" i="6"/>
  <c r="AM50" i="1"/>
  <c r="AN7" i="11"/>
  <c r="AN49" i="1"/>
  <c r="AO42" i="1"/>
  <c r="AO49" i="1" s="1"/>
  <c r="AN43" i="1"/>
  <c r="A120" i="7"/>
  <c r="C119" i="7"/>
  <c r="D119" i="7" s="1"/>
  <c r="AN32" i="11" l="1"/>
  <c r="AN8" i="11"/>
  <c r="AO43" i="1"/>
  <c r="AO45" i="1" s="1"/>
  <c r="AO46" i="1" s="1"/>
  <c r="AN16" i="11"/>
  <c r="AO16" i="11" s="1"/>
  <c r="AO7" i="11"/>
  <c r="E46" i="7"/>
  <c r="F46" i="7" s="1"/>
  <c r="B46" i="7"/>
  <c r="AK11" i="6"/>
  <c r="AM51" i="1" s="1"/>
  <c r="AK23" i="6"/>
  <c r="AK24" i="6"/>
  <c r="C120" i="7"/>
  <c r="D120" i="7" s="1"/>
  <c r="A121" i="7"/>
  <c r="AN45" i="1"/>
  <c r="AN28" i="11"/>
  <c r="AO27" i="11"/>
  <c r="AO28" i="11" s="1"/>
  <c r="AL15" i="6"/>
  <c r="AN6" i="11" l="1"/>
  <c r="AN46" i="1"/>
  <c r="AL14" i="6"/>
  <c r="G46" i="7"/>
  <c r="AO8" i="11"/>
  <c r="AN17" i="11"/>
  <c r="A122" i="7"/>
  <c r="C121" i="7"/>
  <c r="D121" i="7" s="1"/>
  <c r="A123" i="7" l="1"/>
  <c r="C122" i="7"/>
  <c r="D122" i="7" s="1"/>
  <c r="AL19" i="6"/>
  <c r="AN50" i="1"/>
  <c r="AO50" i="1"/>
  <c r="AL28" i="6"/>
  <c r="AO17" i="11"/>
  <c r="AN15" i="11"/>
  <c r="AN18" i="11" s="1"/>
  <c r="AN30" i="11" s="1"/>
  <c r="AN34" i="11" s="1"/>
  <c r="AL10" i="6" s="1"/>
  <c r="AO6" i="11"/>
  <c r="AO15" i="11" s="1"/>
  <c r="B47" i="7"/>
  <c r="E47" i="7"/>
  <c r="F47" i="7" s="1"/>
  <c r="AO18" i="11" l="1"/>
  <c r="AO30" i="11" s="1"/>
  <c r="AO34" i="11" s="1"/>
  <c r="AL23" i="6"/>
  <c r="AL11" i="6"/>
  <c r="AL24" i="6"/>
  <c r="G47" i="7"/>
  <c r="A124" i="7"/>
  <c r="C123" i="7"/>
  <c r="D123" i="7" s="1"/>
  <c r="AO51" i="1" l="1"/>
  <c r="AN51" i="1"/>
  <c r="A125" i="7"/>
  <c r="C124" i="7"/>
  <c r="D124" i="7" s="1"/>
  <c r="E48" i="7"/>
  <c r="F48" i="7" s="1"/>
  <c r="B48" i="7"/>
  <c r="G48" i="7" l="1"/>
  <c r="A126" i="7"/>
  <c r="C125" i="7"/>
  <c r="D125" i="7" s="1"/>
  <c r="E49" i="7" l="1"/>
  <c r="F49" i="7" s="1"/>
  <c r="B49" i="7"/>
  <c r="C126" i="7"/>
  <c r="D126" i="7" s="1"/>
  <c r="A127" i="7"/>
  <c r="G49" i="7" l="1"/>
  <c r="A128" i="7"/>
  <c r="C127" i="7"/>
  <c r="D127" i="7" s="1"/>
  <c r="B50" i="7" l="1"/>
  <c r="E50" i="7"/>
  <c r="F50" i="7" s="1"/>
  <c r="C128" i="7"/>
  <c r="D128" i="7" s="1"/>
  <c r="A129" i="7"/>
  <c r="G50" i="7" l="1"/>
  <c r="B51" i="7" s="1"/>
  <c r="A130" i="7"/>
  <c r="C129" i="7"/>
  <c r="D129" i="7" s="1"/>
  <c r="E51" i="7" l="1"/>
  <c r="F51" i="7" s="1"/>
  <c r="G51" i="7" s="1"/>
  <c r="B52" i="7" s="1"/>
  <c r="C130" i="7"/>
  <c r="D130" i="7" s="1"/>
  <c r="A131" i="7"/>
  <c r="E52" i="7" l="1"/>
  <c r="F52" i="7" s="1"/>
  <c r="G52" i="7" s="1"/>
  <c r="A132" i="7"/>
  <c r="C131" i="7"/>
  <c r="D131" i="7" s="1"/>
  <c r="C132" i="7" l="1"/>
  <c r="D132" i="7" s="1"/>
  <c r="A133" i="7"/>
  <c r="E53" i="7"/>
  <c r="F53" i="7" s="1"/>
  <c r="B53" i="7"/>
  <c r="G53" i="7" l="1"/>
  <c r="B54" i="7" s="1"/>
  <c r="A134" i="7"/>
  <c r="C133" i="7"/>
  <c r="D133" i="7" s="1"/>
  <c r="E54" i="7" l="1"/>
  <c r="F54" i="7" s="1"/>
  <c r="G54" i="7" s="1"/>
  <c r="B55" i="7" s="1"/>
  <c r="C134" i="7"/>
  <c r="D134" i="7" s="1"/>
  <c r="A135" i="7"/>
  <c r="E55" i="7" l="1"/>
  <c r="F55" i="7" s="1"/>
  <c r="G55" i="7" s="1"/>
  <c r="E56" i="7" s="1"/>
  <c r="F56" i="7" s="1"/>
  <c r="C135" i="7"/>
  <c r="D135" i="7" s="1"/>
  <c r="A136" i="7"/>
  <c r="B56" i="7" l="1"/>
  <c r="G56" i="7" s="1"/>
  <c r="C136" i="7"/>
  <c r="D136" i="7" s="1"/>
  <c r="A137" i="7"/>
  <c r="E57" i="7" l="1"/>
  <c r="F57" i="7" s="1"/>
  <c r="B57" i="7"/>
  <c r="C137" i="7"/>
  <c r="D137" i="7" s="1"/>
  <c r="A138" i="7"/>
  <c r="G57" i="7" l="1"/>
  <c r="B58" i="7" s="1"/>
  <c r="C138" i="7"/>
  <c r="D138" i="7" s="1"/>
  <c r="A139" i="7"/>
  <c r="E58" i="7" l="1"/>
  <c r="F58" i="7" s="1"/>
  <c r="G58" i="7" s="1"/>
  <c r="B59" i="7" s="1"/>
  <c r="C139" i="7"/>
  <c r="D139" i="7" s="1"/>
  <c r="A140" i="7"/>
  <c r="E59" i="7" l="1"/>
  <c r="F59" i="7" s="1"/>
  <c r="G59" i="7" s="1"/>
  <c r="E60" i="7" s="1"/>
  <c r="F60" i="7" s="1"/>
  <c r="A141" i="7"/>
  <c r="C140" i="7"/>
  <c r="D140" i="7" s="1"/>
  <c r="B60" i="7" l="1"/>
  <c r="G60" i="7" s="1"/>
  <c r="B61" i="7" s="1"/>
  <c r="A142" i="7"/>
  <c r="C141" i="7"/>
  <c r="D141" i="7" s="1"/>
  <c r="E61" i="7" l="1"/>
  <c r="F61" i="7" s="1"/>
  <c r="G61" i="7" s="1"/>
  <c r="B62" i="7" s="1"/>
  <c r="C142" i="7"/>
  <c r="D142" i="7" s="1"/>
  <c r="A143" i="7"/>
  <c r="E62" i="7" l="1"/>
  <c r="F62" i="7" s="1"/>
  <c r="G62" i="7" s="1"/>
  <c r="B63" i="7" s="1"/>
  <c r="C143" i="7"/>
  <c r="D143" i="7" s="1"/>
  <c r="A144" i="7"/>
  <c r="E63" i="7" l="1"/>
  <c r="F63" i="7" s="1"/>
  <c r="G63" i="7" s="1"/>
  <c r="E64" i="7" s="1"/>
  <c r="F64" i="7" s="1"/>
  <c r="A145" i="7"/>
  <c r="C144" i="7"/>
  <c r="D144" i="7" s="1"/>
  <c r="B64" i="7" l="1"/>
  <c r="G64" i="7" s="1"/>
  <c r="A146" i="7"/>
  <c r="C145" i="7"/>
  <c r="D145" i="7" s="1"/>
  <c r="E65" i="7" l="1"/>
  <c r="F65" i="7" s="1"/>
  <c r="B65" i="7"/>
  <c r="A147" i="7"/>
  <c r="C146" i="7"/>
  <c r="D146" i="7" s="1"/>
  <c r="G65" i="7" l="1"/>
  <c r="B66" i="7" s="1"/>
  <c r="C147" i="7"/>
  <c r="D147" i="7" s="1"/>
  <c r="A148" i="7"/>
  <c r="E66" i="7" l="1"/>
  <c r="F66" i="7" s="1"/>
  <c r="G66" i="7" s="1"/>
  <c r="B67" i="7" s="1"/>
  <c r="C148" i="7"/>
  <c r="D148" i="7" s="1"/>
  <c r="A149" i="7"/>
  <c r="E67" i="7" l="1"/>
  <c r="F67" i="7" s="1"/>
  <c r="G67" i="7" s="1"/>
  <c r="E68" i="7" s="1"/>
  <c r="F68" i="7" s="1"/>
  <c r="C149" i="7"/>
  <c r="D149" i="7" s="1"/>
  <c r="A150" i="7"/>
  <c r="B68" i="7" l="1"/>
  <c r="G68" i="7" s="1"/>
  <c r="E69" i="7" s="1"/>
  <c r="F69" i="7" s="1"/>
  <c r="C150" i="7"/>
  <c r="D150" i="7" s="1"/>
  <c r="A151" i="7"/>
  <c r="B69" i="7" l="1"/>
  <c r="G69" i="7" s="1"/>
  <c r="B70" i="7" s="1"/>
  <c r="C151" i="7"/>
  <c r="D151" i="7" s="1"/>
  <c r="A152" i="7"/>
  <c r="E70" i="7" l="1"/>
  <c r="F70" i="7" s="1"/>
  <c r="G70" i="7" s="1"/>
  <c r="B71" i="7" s="1"/>
  <c r="A153" i="7"/>
  <c r="C152" i="7"/>
  <c r="D152" i="7" s="1"/>
  <c r="E71" i="7" l="1"/>
  <c r="F71" i="7" s="1"/>
  <c r="G71" i="7" s="1"/>
  <c r="E72" i="7" s="1"/>
  <c r="F72" i="7" s="1"/>
  <c r="A154" i="7"/>
  <c r="C153" i="7"/>
  <c r="D153" i="7" s="1"/>
  <c r="B72" i="7" l="1"/>
  <c r="G72" i="7" s="1"/>
  <c r="A155" i="7"/>
  <c r="C154" i="7"/>
  <c r="D154" i="7" s="1"/>
  <c r="A156" i="7" l="1"/>
  <c r="C155" i="7"/>
  <c r="D155" i="7" s="1"/>
  <c r="E73" i="7"/>
  <c r="F73" i="7" s="1"/>
  <c r="B73" i="7"/>
  <c r="G73" i="7" l="1"/>
  <c r="B74" i="7" s="1"/>
  <c r="A157" i="7"/>
  <c r="C156" i="7"/>
  <c r="D156" i="7" s="1"/>
  <c r="E74" i="7" l="1"/>
  <c r="F74" i="7" s="1"/>
  <c r="G74" i="7" s="1"/>
  <c r="B75" i="7" s="1"/>
  <c r="A158" i="7"/>
  <c r="C157" i="7"/>
  <c r="D157" i="7" s="1"/>
  <c r="E75" i="7" l="1"/>
  <c r="F75" i="7" s="1"/>
  <c r="G75" i="7" s="1"/>
  <c r="A159" i="7"/>
  <c r="C158" i="7"/>
  <c r="D158" i="7" s="1"/>
  <c r="E76" i="7" l="1"/>
  <c r="F76" i="7" s="1"/>
  <c r="B76" i="7"/>
  <c r="C159" i="7"/>
  <c r="D159" i="7" s="1"/>
  <c r="A160" i="7"/>
  <c r="G76" i="7" l="1"/>
  <c r="E77" i="7" s="1"/>
  <c r="F77" i="7" s="1"/>
  <c r="A161" i="7"/>
  <c r="C160" i="7"/>
  <c r="D160" i="7" s="1"/>
  <c r="B77" i="7" l="1"/>
  <c r="G77" i="7" s="1"/>
  <c r="B78" i="7" s="1"/>
  <c r="A162" i="7"/>
  <c r="C161" i="7"/>
  <c r="D161" i="7" s="1"/>
  <c r="E78" i="7" l="1"/>
  <c r="F78" i="7" s="1"/>
  <c r="G78" i="7" s="1"/>
  <c r="C162" i="7"/>
  <c r="D162" i="7" s="1"/>
  <c r="A163" i="7"/>
  <c r="B79" i="7" l="1"/>
  <c r="E79" i="7"/>
  <c r="F79" i="7" s="1"/>
  <c r="C163" i="7"/>
  <c r="D163" i="7" s="1"/>
  <c r="A164" i="7"/>
  <c r="G79" i="7" l="1"/>
  <c r="E80" i="7" s="1"/>
  <c r="F80" i="7" s="1"/>
  <c r="C164" i="7"/>
  <c r="D164" i="7" s="1"/>
  <c r="A165" i="7"/>
  <c r="C165" i="7" s="1"/>
  <c r="D165" i="7" s="1"/>
  <c r="B80" i="7" l="1"/>
  <c r="G80" i="7" s="1"/>
  <c r="E81" i="7" s="1"/>
  <c r="F81" i="7" s="1"/>
  <c r="B81" i="7" l="1"/>
  <c r="G81" i="7" s="1"/>
  <c r="B82" i="7" s="1"/>
  <c r="E82" i="7" l="1"/>
  <c r="F82" i="7" s="1"/>
  <c r="G82" i="7" s="1"/>
  <c r="B83" i="7" s="1"/>
  <c r="E83" i="7" l="1"/>
  <c r="F83" i="7" s="1"/>
  <c r="G83" i="7" s="1"/>
  <c r="E84" i="7" s="1"/>
  <c r="F84" i="7" s="1"/>
  <c r="B84" i="7" l="1"/>
  <c r="G84" i="7" s="1"/>
  <c r="E85" i="7" l="1"/>
  <c r="F85" i="7" s="1"/>
  <c r="B85" i="7"/>
  <c r="G85" i="7" l="1"/>
  <c r="B86" i="7" s="1"/>
  <c r="E86" i="7" l="1"/>
  <c r="F86" i="7" s="1"/>
  <c r="G86" i="7" s="1"/>
  <c r="B87" i="7" s="1"/>
  <c r="E87" i="7" l="1"/>
  <c r="F87" i="7" s="1"/>
  <c r="G87" i="7" s="1"/>
  <c r="E88" i="7" s="1"/>
  <c r="F88" i="7" s="1"/>
  <c r="B88" i="7" l="1"/>
  <c r="G88" i="7" s="1"/>
  <c r="E89" i="7" s="1"/>
  <c r="F89" i="7" s="1"/>
  <c r="B89" i="7" l="1"/>
  <c r="G89" i="7" s="1"/>
  <c r="E90" i="7" s="1"/>
  <c r="F90" i="7" s="1"/>
  <c r="B90" i="7" l="1"/>
  <c r="G90" i="7" s="1"/>
  <c r="E91" i="7" l="1"/>
  <c r="F91" i="7" s="1"/>
  <c r="B91" i="7"/>
  <c r="G91" i="7" l="1"/>
  <c r="E92" i="7" l="1"/>
  <c r="F92" i="7" s="1"/>
  <c r="B92" i="7"/>
  <c r="G92" i="7" l="1"/>
  <c r="E93" i="7" s="1"/>
  <c r="F93" i="7" s="1"/>
  <c r="B93" i="7" l="1"/>
  <c r="G93" i="7" s="1"/>
  <c r="E94" i="7" l="1"/>
  <c r="F94" i="7" s="1"/>
  <c r="B94" i="7"/>
  <c r="G94" i="7" l="1"/>
  <c r="E95" i="7" l="1"/>
  <c r="F95" i="7" s="1"/>
  <c r="B95" i="7"/>
  <c r="G95" i="7" l="1"/>
  <c r="B96" i="7" l="1"/>
  <c r="E96" i="7"/>
  <c r="F96" i="7" s="1"/>
  <c r="G96" i="7" l="1"/>
  <c r="E97" i="7" s="1"/>
  <c r="F97" i="7" s="1"/>
  <c r="B97" i="7" l="1"/>
  <c r="G97" i="7" s="1"/>
  <c r="E98" i="7" s="1"/>
  <c r="F98" i="7" s="1"/>
  <c r="B98" i="7" l="1"/>
  <c r="G98" i="7" s="1"/>
  <c r="E99" i="7" s="1"/>
  <c r="F99" i="7" s="1"/>
  <c r="B99" i="7" l="1"/>
  <c r="G99" i="7" s="1"/>
  <c r="B100" i="7" s="1"/>
  <c r="E100" i="7" l="1"/>
  <c r="F100" i="7" s="1"/>
  <c r="G100" i="7" s="1"/>
  <c r="E101" i="7" s="1"/>
  <c r="F101" i="7" s="1"/>
  <c r="B101" i="7" l="1"/>
  <c r="G101" i="7" s="1"/>
  <c r="E102" i="7" s="1"/>
  <c r="F102" i="7" s="1"/>
  <c r="B102" i="7" l="1"/>
  <c r="G102" i="7" s="1"/>
  <c r="E103" i="7" l="1"/>
  <c r="F103" i="7" s="1"/>
  <c r="B103" i="7"/>
  <c r="G103" i="7" l="1"/>
  <c r="E104" i="7" s="1"/>
  <c r="F104" i="7" s="1"/>
  <c r="B104" i="7" l="1"/>
  <c r="G104" i="7" s="1"/>
  <c r="E105" i="7" s="1"/>
  <c r="F105" i="7" s="1"/>
  <c r="B105" i="7" l="1"/>
  <c r="G105" i="7" s="1"/>
  <c r="E106" i="7" l="1"/>
  <c r="F106" i="7" s="1"/>
  <c r="B106" i="7"/>
  <c r="G106" i="7" l="1"/>
  <c r="B107" i="7" s="1"/>
  <c r="E107" i="7" l="1"/>
  <c r="F107" i="7" s="1"/>
  <c r="G107" i="7" s="1"/>
  <c r="B108" i="7" s="1"/>
  <c r="E108" i="7" l="1"/>
  <c r="F108" i="7" s="1"/>
  <c r="G108" i="7" s="1"/>
  <c r="E109" i="7" s="1"/>
  <c r="F109" i="7" s="1"/>
  <c r="B109" i="7" l="1"/>
  <c r="G109" i="7" s="1"/>
  <c r="E110" i="7" s="1"/>
  <c r="F110" i="7" s="1"/>
  <c r="B110" i="7" l="1"/>
  <c r="G110" i="7" s="1"/>
  <c r="E111" i="7" s="1"/>
  <c r="F111" i="7" s="1"/>
  <c r="B111" i="7" l="1"/>
  <c r="G111" i="7" s="1"/>
  <c r="E112" i="7" l="1"/>
  <c r="F112" i="7" s="1"/>
  <c r="B112" i="7"/>
  <c r="G112" i="7" l="1"/>
  <c r="E113" i="7" s="1"/>
  <c r="F113" i="7" s="1"/>
  <c r="B113" i="7" l="1"/>
  <c r="G113" i="7" s="1"/>
  <c r="E114" i="7" s="1"/>
  <c r="F114" i="7" s="1"/>
  <c r="B114" i="7" l="1"/>
  <c r="G114" i="7" s="1"/>
  <c r="B115" i="7" s="1"/>
  <c r="E115" i="7" l="1"/>
  <c r="F115" i="7" s="1"/>
  <c r="G115" i="7" s="1"/>
  <c r="E116" i="7" s="1"/>
  <c r="F116" i="7" s="1"/>
  <c r="B116" i="7" l="1"/>
  <c r="G116" i="7" s="1"/>
  <c r="E117" i="7" s="1"/>
  <c r="F117" i="7" s="1"/>
  <c r="B117" i="7" l="1"/>
  <c r="G117" i="7" s="1"/>
  <c r="B118" i="7" s="1"/>
  <c r="E118" i="7" l="1"/>
  <c r="F118" i="7" s="1"/>
  <c r="G118" i="7" s="1"/>
  <c r="B119" i="7" s="1"/>
  <c r="E119" i="7" l="1"/>
  <c r="F119" i="7" s="1"/>
  <c r="G119" i="7" s="1"/>
  <c r="E120" i="7" s="1"/>
  <c r="F120" i="7" s="1"/>
  <c r="B120" i="7" l="1"/>
  <c r="G120" i="7" s="1"/>
  <c r="E121" i="7" s="1"/>
  <c r="F121" i="7" s="1"/>
  <c r="B121" i="7" l="1"/>
  <c r="G121" i="7" s="1"/>
  <c r="B122" i="7" s="1"/>
  <c r="E122" i="7" l="1"/>
  <c r="F122" i="7" s="1"/>
  <c r="G122" i="7" s="1"/>
  <c r="B123" i="7" s="1"/>
  <c r="E123" i="7" l="1"/>
  <c r="F123" i="7" s="1"/>
  <c r="G123" i="7" s="1"/>
  <c r="E124" i="7" s="1"/>
  <c r="F124" i="7" s="1"/>
  <c r="B124" i="7" l="1"/>
  <c r="G124" i="7" s="1"/>
  <c r="E125" i="7" s="1"/>
  <c r="F125" i="7" s="1"/>
  <c r="B125" i="7" l="1"/>
  <c r="G125" i="7" s="1"/>
  <c r="B126" i="7" s="1"/>
  <c r="E126" i="7" l="1"/>
  <c r="F126" i="7" s="1"/>
  <c r="G126" i="7" s="1"/>
  <c r="B127" i="7" s="1"/>
  <c r="E127" i="7" l="1"/>
  <c r="F127" i="7" s="1"/>
  <c r="G127" i="7" s="1"/>
  <c r="E128" i="7" s="1"/>
  <c r="F128" i="7" s="1"/>
  <c r="B128" i="7" l="1"/>
  <c r="G128" i="7" s="1"/>
  <c r="E129" i="7" s="1"/>
  <c r="F129" i="7" s="1"/>
  <c r="B129" i="7" l="1"/>
  <c r="G129" i="7" s="1"/>
  <c r="B130" i="7" s="1"/>
  <c r="E130" i="7" l="1"/>
  <c r="F130" i="7" s="1"/>
  <c r="G130" i="7" s="1"/>
  <c r="B131" i="7" s="1"/>
  <c r="E131" i="7" l="1"/>
  <c r="F131" i="7" s="1"/>
  <c r="G131" i="7" s="1"/>
  <c r="E132" i="7" s="1"/>
  <c r="F132" i="7" s="1"/>
  <c r="B132" i="7" l="1"/>
  <c r="G132" i="7" s="1"/>
  <c r="E133" i="7" s="1"/>
  <c r="F133" i="7" s="1"/>
  <c r="B133" i="7" l="1"/>
  <c r="G133" i="7" s="1"/>
  <c r="E134" i="7" s="1"/>
  <c r="F134" i="7" s="1"/>
  <c r="B134" i="7" l="1"/>
  <c r="G134" i="7" s="1"/>
  <c r="B135" i="7" s="1"/>
  <c r="E135" i="7" l="1"/>
  <c r="F135" i="7" s="1"/>
  <c r="G135" i="7" s="1"/>
  <c r="E136" i="7" s="1"/>
  <c r="F136" i="7" s="1"/>
  <c r="B136" i="7" l="1"/>
  <c r="G136" i="7" s="1"/>
  <c r="E137" i="7" s="1"/>
  <c r="F137" i="7" s="1"/>
  <c r="B137" i="7" l="1"/>
  <c r="G137" i="7" s="1"/>
  <c r="E138" i="7" s="1"/>
  <c r="F138" i="7" s="1"/>
  <c r="B138" i="7" l="1"/>
  <c r="G138" i="7" s="1"/>
  <c r="E139" i="7" s="1"/>
  <c r="F139" i="7" s="1"/>
  <c r="B139" i="7" l="1"/>
  <c r="G139" i="7" s="1"/>
  <c r="E140" i="7" s="1"/>
  <c r="F140" i="7" s="1"/>
  <c r="B140" i="7" l="1"/>
  <c r="G140" i="7" s="1"/>
  <c r="E141" i="7" s="1"/>
  <c r="F141" i="7" s="1"/>
  <c r="B141" i="7" l="1"/>
  <c r="G141" i="7" s="1"/>
  <c r="E142" i="7" l="1"/>
  <c r="F142" i="7" s="1"/>
  <c r="B142" i="7"/>
  <c r="G142" i="7" l="1"/>
  <c r="E143" i="7" s="1"/>
  <c r="F143" i="7" s="1"/>
  <c r="B143" i="7" l="1"/>
  <c r="G143" i="7" s="1"/>
  <c r="E144" i="7" s="1"/>
  <c r="F144" i="7" s="1"/>
  <c r="B144" i="7" l="1"/>
  <c r="G144" i="7" s="1"/>
  <c r="B145" i="7" l="1"/>
  <c r="E145" i="7"/>
  <c r="F145" i="7" s="1"/>
  <c r="G145" i="7" l="1"/>
  <c r="E146" i="7" s="1"/>
  <c r="F146" i="7" s="1"/>
  <c r="B146" i="7" l="1"/>
  <c r="G146" i="7" s="1"/>
  <c r="E147" i="7" l="1"/>
  <c r="F147" i="7" s="1"/>
  <c r="B147" i="7"/>
  <c r="G147" i="7" l="1"/>
  <c r="E148" i="7" s="1"/>
  <c r="F148" i="7" s="1"/>
  <c r="B148" i="7" l="1"/>
  <c r="G148" i="7" s="1"/>
  <c r="E149" i="7" s="1"/>
  <c r="F149" i="7" s="1"/>
  <c r="B149" i="7" l="1"/>
  <c r="G149" i="7" s="1"/>
  <c r="E150" i="7" s="1"/>
  <c r="F150" i="7" s="1"/>
  <c r="B150" i="7" l="1"/>
  <c r="G150" i="7" s="1"/>
  <c r="E151" i="7" s="1"/>
  <c r="F151" i="7" s="1"/>
  <c r="B151" i="7" l="1"/>
  <c r="G151" i="7" s="1"/>
  <c r="B152" i="7" l="1"/>
  <c r="E152" i="7"/>
  <c r="F152" i="7" s="1"/>
  <c r="G152" i="7" l="1"/>
  <c r="E153" i="7" s="1"/>
  <c r="F153" i="7" s="1"/>
  <c r="B153" i="7" l="1"/>
  <c r="G153" i="7"/>
  <c r="E154" i="7" s="1"/>
  <c r="F154" i="7" s="1"/>
  <c r="B154" i="7" l="1"/>
  <c r="G154" i="7" s="1"/>
  <c r="E155" i="7" s="1"/>
  <c r="F155" i="7" s="1"/>
  <c r="B155" i="7" l="1"/>
  <c r="G155" i="7" s="1"/>
  <c r="B156" i="7" s="1"/>
  <c r="E156" i="7" l="1"/>
  <c r="F156" i="7" s="1"/>
  <c r="G156" i="7" s="1"/>
  <c r="E157" i="7" s="1"/>
  <c r="F157" i="7" s="1"/>
  <c r="B157" i="7" l="1"/>
  <c r="G157" i="7" s="1"/>
  <c r="E158" i="7" l="1"/>
  <c r="F158" i="7" s="1"/>
  <c r="B158" i="7"/>
  <c r="G158" i="7" l="1"/>
  <c r="E159" i="7" s="1"/>
  <c r="F159" i="7" s="1"/>
  <c r="B159" i="7" l="1"/>
  <c r="G159" i="7" s="1"/>
  <c r="E160" i="7" l="1"/>
  <c r="F160" i="7" s="1"/>
  <c r="B160" i="7"/>
  <c r="G160" i="7" l="1"/>
  <c r="E161" i="7" s="1"/>
  <c r="F161" i="7" s="1"/>
  <c r="B161" i="7" l="1"/>
  <c r="G161" i="7" s="1"/>
  <c r="B162" i="7" s="1"/>
  <c r="E162" i="7" l="1"/>
  <c r="F162" i="7" s="1"/>
  <c r="G162" i="7" s="1"/>
  <c r="E163" i="7" l="1"/>
  <c r="F163" i="7" s="1"/>
  <c r="B163" i="7"/>
  <c r="G163" i="7" l="1"/>
  <c r="E164" i="7" s="1"/>
  <c r="F164" i="7" s="1"/>
  <c r="B164" i="7" l="1"/>
  <c r="G164" i="7" s="1"/>
  <c r="E165" i="7" s="1"/>
  <c r="F165" i="7" s="1"/>
  <c r="B165" i="7" l="1"/>
  <c r="G165" i="7" s="1"/>
</calcChain>
</file>

<file path=xl/sharedStrings.xml><?xml version="1.0" encoding="utf-8"?>
<sst xmlns="http://schemas.openxmlformats.org/spreadsheetml/2006/main" count="133" uniqueCount="107">
  <si>
    <t>Shareholders' Contributions</t>
  </si>
  <si>
    <t>Turnover</t>
  </si>
  <si>
    <t>Cost of Sales</t>
  </si>
  <si>
    <t>Gross Profit</t>
  </si>
  <si>
    <t>Gross Profit %</t>
  </si>
  <si>
    <t>Accounting Fees</t>
  </si>
  <si>
    <t>Bank Charges</t>
  </si>
  <si>
    <t>Computer Expenses</t>
  </si>
  <si>
    <t>Uniforms</t>
  </si>
  <si>
    <t>Electricity &amp; Water</t>
  </si>
  <si>
    <t xml:space="preserve">Entertainment </t>
  </si>
  <si>
    <t>Insurance</t>
  </si>
  <si>
    <t>Printing &amp; Stationery</t>
  </si>
  <si>
    <t>Rent</t>
  </si>
  <si>
    <t>Salaries &amp; Wages</t>
  </si>
  <si>
    <t>Security</t>
  </si>
  <si>
    <t>Subscriptions</t>
  </si>
  <si>
    <t>Telephone &amp; Fax</t>
  </si>
  <si>
    <t>Advertising &amp; Marketing</t>
  </si>
  <si>
    <t>Cleaning Expenses</t>
  </si>
  <si>
    <t>Professional Fees</t>
  </si>
  <si>
    <t>Postage</t>
  </si>
  <si>
    <t>Motor Vehicle Expenses</t>
  </si>
  <si>
    <t>Equipment Hire</t>
  </si>
  <si>
    <t>Repairs &amp; Maintenance</t>
  </si>
  <si>
    <t>Consumables</t>
  </si>
  <si>
    <t>Legal Fees</t>
  </si>
  <si>
    <t>Training</t>
  </si>
  <si>
    <t>Inventory</t>
  </si>
  <si>
    <t>Debtors</t>
  </si>
  <si>
    <t>Creditors</t>
  </si>
  <si>
    <t>Working Capital</t>
  </si>
  <si>
    <t>Debtors Days</t>
  </si>
  <si>
    <t>Creditors Days</t>
  </si>
  <si>
    <t>Inventory Days</t>
  </si>
  <si>
    <t>Income Tax %</t>
  </si>
  <si>
    <t>Interest Rate</t>
  </si>
  <si>
    <t>Assets</t>
  </si>
  <si>
    <t>Current Assets</t>
  </si>
  <si>
    <t>Cash</t>
  </si>
  <si>
    <t>Equity &amp; Liabilities</t>
  </si>
  <si>
    <t>Retained Earnings</t>
  </si>
  <si>
    <t>Current Liabilities</t>
  </si>
  <si>
    <t>Taxation</t>
  </si>
  <si>
    <t>Start-up Balances</t>
  </si>
  <si>
    <t>Long Term Loans</t>
  </si>
  <si>
    <t>Repayment Term</t>
  </si>
  <si>
    <t>Interest Only</t>
  </si>
  <si>
    <t>No</t>
  </si>
  <si>
    <t>Interest</t>
  </si>
  <si>
    <t>Loan Repayment</t>
  </si>
  <si>
    <t>Opening Balance</t>
  </si>
  <si>
    <t>Closing Balance</t>
  </si>
  <si>
    <t>Start Date</t>
  </si>
  <si>
    <t>Days in month</t>
  </si>
  <si>
    <t>Month</t>
  </si>
  <si>
    <t>Provision for Taxation</t>
  </si>
  <si>
    <t>Note: It is assumed that income tax is paid on a bi-annual basis (every 6 months).</t>
  </si>
  <si>
    <t>Loan Terms</t>
  </si>
  <si>
    <t>Expenses</t>
  </si>
  <si>
    <t>Property, Plant &amp; Equipment</t>
  </si>
  <si>
    <t>Total Expenses</t>
  </si>
  <si>
    <t>Interest Cover</t>
  </si>
  <si>
    <t>Current Ratio</t>
  </si>
  <si>
    <t>Quick Ratio</t>
  </si>
  <si>
    <t>Debt / Equity</t>
  </si>
  <si>
    <t>Return on Equity (ROE)</t>
  </si>
  <si>
    <t>Return on Net Assets (RONA)</t>
  </si>
  <si>
    <t>Additional Financing</t>
  </si>
  <si>
    <t>Interest Charged</t>
  </si>
  <si>
    <t>Capital Repayment</t>
  </si>
  <si>
    <t>© www.excel-skills.com</t>
  </si>
  <si>
    <t>Repayment Term (in years)</t>
  </si>
  <si>
    <t>Business Name</t>
  </si>
  <si>
    <t>Cash Flow Projections - Assumptions</t>
  </si>
  <si>
    <t>Cash Flow Projections - Income Statement</t>
  </si>
  <si>
    <t>Profit / (Loss) before Interest &amp; Tax</t>
  </si>
  <si>
    <t>Profit / (Loss) for the year</t>
  </si>
  <si>
    <t>Profit / (Loss) %</t>
  </si>
  <si>
    <t>Depreciation</t>
  </si>
  <si>
    <t>Cash Flow Projections - Cash Flow Statement</t>
  </si>
  <si>
    <t>Cash Flow Projections - Balance Sheet</t>
  </si>
  <si>
    <t>Cash flows from operating activities</t>
  </si>
  <si>
    <t>Adjustment for non-cash expenses:</t>
  </si>
  <si>
    <t>Changes in operating assets &amp; liabilities</t>
  </si>
  <si>
    <t>Cash generated from operations</t>
  </si>
  <si>
    <t>Interest paid</t>
  </si>
  <si>
    <t>Taxation paid</t>
  </si>
  <si>
    <t>Net cash from operating activities</t>
  </si>
  <si>
    <t>Cash flows from investing activities</t>
  </si>
  <si>
    <t>Purchases of property, plant &amp; equipment</t>
  </si>
  <si>
    <t>Net cash used in investing activities</t>
  </si>
  <si>
    <t>Cash flows from financing activities</t>
  </si>
  <si>
    <t>Proceeds from shareholders' contributions</t>
  </si>
  <si>
    <t>Proceeds from loans</t>
  </si>
  <si>
    <t>Net cash from financing activities</t>
  </si>
  <si>
    <t>Increase / (Decrease) in cash equivalents</t>
  </si>
  <si>
    <t>Cash &amp; cash equivalents at beginning of year</t>
  </si>
  <si>
    <t>Cash &amp; cash equivalents at end of year</t>
  </si>
  <si>
    <t>Receivables</t>
  </si>
  <si>
    <t>Payables</t>
  </si>
  <si>
    <t>Cash Flow Projections - Loan Repayment Schedule</t>
  </si>
  <si>
    <t>Repayment of loans</t>
  </si>
  <si>
    <t>Monthly turnover projections need to be entered on the IncState worksheet.</t>
  </si>
  <si>
    <t>Monthly gross profit percentages need to be entered on the IncState worksheet.</t>
  </si>
  <si>
    <t>Monthly expense projections need to be entered on the IncState worksheet.</t>
  </si>
  <si>
    <t>Example Trading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</si>
</sst>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(* #,##0.0%_);_(* \(#,##0.0%\);_(* &quot;-&quot;_);_(@_)"/>
    <numFmt numFmtId="169" formatCode="_(* #,##0.0_);_(* \(#,##0.0\);_(* &quot;-&quot;??_);_(@_)"/>
    <numFmt numFmtId="170" formatCode="mmm\-yyyy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9.5"/>
      <color indexed="9"/>
      <name val="Arial"/>
      <family val="2"/>
    </font>
    <font>
      <i/>
      <sz val="9.5"/>
      <color indexed="9"/>
      <name val="Arial"/>
      <family val="2"/>
    </font>
    <font>
      <i/>
      <sz val="9.5"/>
      <color indexed="8"/>
      <name val="Arial"/>
      <family val="2"/>
    </font>
    <font>
      <b/>
      <i/>
      <sz val="9.5"/>
      <name val="Arial"/>
      <family val="2"/>
    </font>
    <font>
      <sz val="9.5"/>
      <color indexed="12"/>
      <name val="Arial"/>
      <family val="2"/>
    </font>
    <font>
      <b/>
      <u/>
      <sz val="9.5"/>
      <color indexed="17"/>
      <name val="Arial"/>
      <family val="2"/>
    </font>
    <font>
      <sz val="9.5"/>
      <color indexed="8"/>
      <name val="Arial"/>
      <family val="2"/>
    </font>
    <font>
      <b/>
      <sz val="9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NumberFormat="1" applyFont="1" applyProtection="1">
      <protection hidden="1"/>
    </xf>
    <xf numFmtId="0" fontId="5" fillId="0" borderId="0" xfId="0" applyNumberFormat="1" applyFont="1" applyProtection="1">
      <protection hidden="1"/>
    </xf>
    <xf numFmtId="167" fontId="5" fillId="0" borderId="0" xfId="1" applyNumberFormat="1" applyFont="1" applyProtection="1">
      <protection hidden="1"/>
    </xf>
    <xf numFmtId="165" fontId="6" fillId="0" borderId="0" xfId="1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NumberFormat="1" applyFont="1" applyProtection="1">
      <protection hidden="1"/>
    </xf>
    <xf numFmtId="0" fontId="6" fillId="0" borderId="0" xfId="0" applyNumberFormat="1" applyFont="1" applyProtection="1">
      <protection hidden="1"/>
    </xf>
    <xf numFmtId="167" fontId="6" fillId="0" borderId="0" xfId="1" applyNumberFormat="1" applyFont="1" applyProtection="1">
      <protection hidden="1"/>
    </xf>
    <xf numFmtId="165" fontId="5" fillId="0" borderId="0" xfId="1" applyFont="1" applyAlignment="1" applyProtection="1">
      <alignment horizontal="center"/>
      <protection hidden="1"/>
    </xf>
    <xf numFmtId="165" fontId="5" fillId="0" borderId="0" xfId="1" applyFont="1" applyProtection="1">
      <protection hidden="1"/>
    </xf>
    <xf numFmtId="0" fontId="5" fillId="0" borderId="0" xfId="0" applyFont="1" applyProtection="1">
      <protection hidden="1"/>
    </xf>
    <xf numFmtId="167" fontId="6" fillId="0" borderId="0" xfId="1" applyNumberFormat="1" applyFont="1" applyFill="1" applyBorder="1" applyProtection="1"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167" fontId="6" fillId="2" borderId="2" xfId="1" applyNumberFormat="1" applyFont="1" applyFill="1" applyBorder="1" applyProtection="1">
      <protection hidden="1"/>
    </xf>
    <xf numFmtId="0" fontId="6" fillId="0" borderId="0" xfId="0" applyNumberFormat="1" applyFont="1" applyFill="1" applyBorder="1" applyProtection="1">
      <protection hidden="1"/>
    </xf>
    <xf numFmtId="166" fontId="6" fillId="2" borderId="2" xfId="3" applyNumberFormat="1" applyFont="1" applyFill="1" applyBorder="1" applyProtection="1">
      <protection hidden="1"/>
    </xf>
    <xf numFmtId="169" fontId="6" fillId="2" borderId="2" xfId="1" applyNumberFormat="1" applyFont="1" applyFill="1" applyBorder="1" applyProtection="1">
      <protection hidden="1"/>
    </xf>
    <xf numFmtId="167" fontId="6" fillId="2" borderId="2" xfId="1" applyNumberFormat="1" applyFont="1" applyFill="1" applyBorder="1" applyAlignment="1" applyProtection="1">
      <alignment horizontal="right"/>
      <protection hidden="1"/>
    </xf>
    <xf numFmtId="0" fontId="7" fillId="0" borderId="0" xfId="0" applyNumberFormat="1" applyFont="1" applyFill="1" applyBorder="1" applyProtection="1">
      <protection hidden="1"/>
    </xf>
    <xf numFmtId="0" fontId="9" fillId="0" borderId="0" xfId="0" applyNumberFormat="1" applyFont="1" applyProtection="1">
      <protection hidden="1"/>
    </xf>
    <xf numFmtId="170" fontId="6" fillId="0" borderId="0" xfId="0" applyNumberFormat="1" applyFont="1" applyAlignment="1" applyProtection="1">
      <alignment vertical="center" wrapText="1"/>
      <protection hidden="1"/>
    </xf>
    <xf numFmtId="170" fontId="6" fillId="3" borderId="2" xfId="0" applyNumberFormat="1" applyFont="1" applyFill="1" applyBorder="1" applyAlignment="1" applyProtection="1">
      <alignment vertical="center" wrapText="1"/>
      <protection hidden="1"/>
    </xf>
    <xf numFmtId="170" fontId="5" fillId="3" borderId="2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2" xfId="1" applyNumberFormat="1" applyFont="1" applyFill="1" applyBorder="1" applyAlignment="1" applyProtection="1">
      <alignment horizontal="center" vertical="center" wrapText="1"/>
      <protection hidden="1"/>
    </xf>
    <xf numFmtId="167" fontId="5" fillId="2" borderId="1" xfId="1" applyNumberFormat="1" applyFont="1" applyFill="1" applyBorder="1" applyProtection="1">
      <protection hidden="1"/>
    </xf>
    <xf numFmtId="0" fontId="5" fillId="0" borderId="0" xfId="1" applyNumberFormat="1" applyFont="1" applyProtection="1">
      <protection hidden="1"/>
    </xf>
    <xf numFmtId="167" fontId="5" fillId="0" borderId="3" xfId="1" applyNumberFormat="1" applyFont="1" applyFill="1" applyBorder="1" applyProtection="1">
      <protection hidden="1"/>
    </xf>
    <xf numFmtId="167" fontId="5" fillId="0" borderId="3" xfId="1" applyNumberFormat="1" applyFont="1" applyBorder="1" applyProtection="1">
      <protection hidden="1"/>
    </xf>
    <xf numFmtId="0" fontId="6" fillId="0" borderId="0" xfId="1" applyNumberFormat="1" applyFont="1" applyProtection="1">
      <protection hidden="1"/>
    </xf>
    <xf numFmtId="167" fontId="6" fillId="0" borderId="4" xfId="1" applyNumberFormat="1" applyFont="1" applyBorder="1" applyProtection="1">
      <protection hidden="1"/>
    </xf>
    <xf numFmtId="167" fontId="5" fillId="0" borderId="4" xfId="1" applyNumberFormat="1" applyFont="1" applyBorder="1" applyProtection="1">
      <protection hidden="1"/>
    </xf>
    <xf numFmtId="166" fontId="10" fillId="0" borderId="0" xfId="3" applyNumberFormat="1" applyFont="1" applyBorder="1" applyProtection="1">
      <protection hidden="1"/>
    </xf>
    <xf numFmtId="166" fontId="10" fillId="0" borderId="4" xfId="3" applyNumberFormat="1" applyFont="1" applyFill="1" applyBorder="1" applyProtection="1">
      <protection hidden="1"/>
    </xf>
    <xf numFmtId="166" fontId="10" fillId="0" borderId="4" xfId="3" applyNumberFormat="1" applyFont="1" applyBorder="1" applyProtection="1">
      <protection hidden="1"/>
    </xf>
    <xf numFmtId="0" fontId="6" fillId="0" borderId="4" xfId="0" applyFont="1" applyBorder="1" applyProtection="1">
      <protection hidden="1"/>
    </xf>
    <xf numFmtId="167" fontId="5" fillId="0" borderId="5" xfId="1" applyNumberFormat="1" applyFont="1" applyBorder="1" applyProtection="1">
      <protection hidden="1"/>
    </xf>
    <xf numFmtId="166" fontId="7" fillId="0" borderId="0" xfId="3" applyNumberFormat="1" applyFont="1" applyProtection="1">
      <protection hidden="1"/>
    </xf>
    <xf numFmtId="168" fontId="7" fillId="0" borderId="4" xfId="3" applyNumberFormat="1" applyFont="1" applyBorder="1" applyProtection="1">
      <protection hidden="1"/>
    </xf>
    <xf numFmtId="167" fontId="6" fillId="0" borderId="6" xfId="1" applyNumberFormat="1" applyFont="1" applyBorder="1" applyProtection="1">
      <protection hidden="1"/>
    </xf>
    <xf numFmtId="167" fontId="5" fillId="0" borderId="7" xfId="1" applyNumberFormat="1" applyFont="1" applyBorder="1" applyProtection="1">
      <protection hidden="1"/>
    </xf>
    <xf numFmtId="0" fontId="7" fillId="0" borderId="0" xfId="0" applyFont="1" applyProtection="1">
      <protection hidden="1"/>
    </xf>
    <xf numFmtId="169" fontId="7" fillId="0" borderId="0" xfId="1" applyNumberFormat="1" applyFont="1" applyProtection="1">
      <protection hidden="1"/>
    </xf>
    <xf numFmtId="169" fontId="11" fillId="0" borderId="0" xfId="1" applyNumberFormat="1" applyFont="1" applyProtection="1">
      <protection hidden="1"/>
    </xf>
    <xf numFmtId="168" fontId="7" fillId="0" borderId="0" xfId="1" applyNumberFormat="1" applyFont="1" applyProtection="1">
      <protection hidden="1"/>
    </xf>
    <xf numFmtId="168" fontId="7" fillId="0" borderId="0" xfId="0" applyNumberFormat="1" applyFont="1" applyProtection="1">
      <protection hidden="1"/>
    </xf>
    <xf numFmtId="168" fontId="11" fillId="0" borderId="0" xfId="0" applyNumberFormat="1" applyFont="1" applyProtection="1">
      <protection hidden="1"/>
    </xf>
    <xf numFmtId="168" fontId="11" fillId="0" borderId="0" xfId="1" applyNumberFormat="1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NumberFormat="1" applyFont="1" applyProtection="1">
      <protection hidden="1"/>
    </xf>
    <xf numFmtId="0" fontId="6" fillId="0" borderId="6" xfId="0" applyFont="1" applyBorder="1" applyProtection="1">
      <protection hidden="1"/>
    </xf>
    <xf numFmtId="0" fontId="13" fillId="0" borderId="0" xfId="2" applyFont="1" applyAlignment="1" applyProtection="1">
      <alignment horizontal="right"/>
      <protection hidden="1"/>
    </xf>
    <xf numFmtId="0" fontId="6" fillId="3" borderId="2" xfId="0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5" fillId="0" borderId="3" xfId="0" applyFont="1" applyBorder="1" applyProtection="1">
      <protection hidden="1"/>
    </xf>
    <xf numFmtId="0" fontId="14" fillId="0" borderId="0" xfId="0" applyNumberFormat="1" applyFont="1" applyProtection="1">
      <protection hidden="1"/>
    </xf>
    <xf numFmtId="167" fontId="14" fillId="0" borderId="4" xfId="1" applyNumberFormat="1" applyFont="1" applyBorder="1" applyProtection="1">
      <protection hidden="1"/>
    </xf>
    <xf numFmtId="0" fontId="14" fillId="0" borderId="0" xfId="0" applyFont="1" applyProtection="1">
      <protection hidden="1"/>
    </xf>
    <xf numFmtId="167" fontId="12" fillId="0" borderId="0" xfId="1" applyNumberFormat="1" applyFont="1" applyProtection="1">
      <protection hidden="1"/>
    </xf>
    <xf numFmtId="167" fontId="7" fillId="0" borderId="0" xfId="1" applyNumberFormat="1" applyFont="1" applyProtection="1">
      <protection hidden="1"/>
    </xf>
    <xf numFmtId="169" fontId="10" fillId="0" borderId="0" xfId="1" applyNumberFormat="1" applyFont="1" applyProtection="1">
      <protection hidden="1"/>
    </xf>
    <xf numFmtId="168" fontId="7" fillId="0" borderId="0" xfId="3" applyNumberFormat="1" applyFont="1" applyProtection="1">
      <protection hidden="1"/>
    </xf>
    <xf numFmtId="167" fontId="6" fillId="0" borderId="0" xfId="0" applyNumberFormat="1" applyFont="1" applyProtection="1">
      <protection hidden="1"/>
    </xf>
    <xf numFmtId="167" fontId="5" fillId="3" borderId="2" xfId="1" applyNumberFormat="1" applyFont="1" applyFill="1" applyBorder="1" applyAlignment="1" applyProtection="1">
      <alignment horizontal="center" vertical="center" wrapText="1"/>
      <protection hidden="1"/>
    </xf>
    <xf numFmtId="167" fontId="8" fillId="4" borderId="2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4" xfId="0" applyNumberFormat="1" applyFont="1" applyBorder="1" applyProtection="1">
      <protection hidden="1"/>
    </xf>
    <xf numFmtId="167" fontId="6" fillId="0" borderId="8" xfId="1" applyNumberFormat="1" applyFont="1" applyBorder="1" applyProtection="1">
      <protection hidden="1"/>
    </xf>
    <xf numFmtId="167" fontId="7" fillId="0" borderId="4" xfId="1" applyNumberFormat="1" applyFont="1" applyBorder="1" applyProtection="1">
      <protection hidden="1"/>
    </xf>
    <xf numFmtId="167" fontId="7" fillId="0" borderId="5" xfId="1" applyNumberFormat="1" applyFont="1" applyBorder="1" applyProtection="1">
      <protection hidden="1"/>
    </xf>
    <xf numFmtId="0" fontId="7" fillId="0" borderId="0" xfId="1" applyNumberFormat="1" applyFont="1" applyProtection="1">
      <protection hidden="1"/>
    </xf>
    <xf numFmtId="170" fontId="14" fillId="0" borderId="0" xfId="0" applyNumberFormat="1" applyFont="1" applyProtection="1">
      <protection hidden="1"/>
    </xf>
    <xf numFmtId="166" fontId="6" fillId="0" borderId="0" xfId="3" applyNumberFormat="1" applyFont="1" applyFill="1" applyBorder="1" applyProtection="1">
      <protection hidden="1"/>
    </xf>
    <xf numFmtId="170" fontId="14" fillId="0" borderId="0" xfId="0" applyNumberFormat="1" applyFont="1" applyFill="1" applyBorder="1" applyProtection="1">
      <protection hidden="1"/>
    </xf>
    <xf numFmtId="169" fontId="6" fillId="3" borderId="2" xfId="1" applyNumberFormat="1" applyFont="1" applyFill="1" applyBorder="1" applyProtection="1">
      <protection hidden="1"/>
    </xf>
    <xf numFmtId="169" fontId="6" fillId="0" borderId="0" xfId="1" applyNumberFormat="1" applyFont="1" applyFill="1" applyBorder="1" applyProtection="1">
      <protection hidden="1"/>
    </xf>
    <xf numFmtId="169" fontId="6" fillId="3" borderId="2" xfId="1" applyNumberFormat="1" applyFont="1" applyFill="1" applyBorder="1" applyAlignment="1" applyProtection="1">
      <alignment horizontal="right"/>
      <protection hidden="1"/>
    </xf>
    <xf numFmtId="169" fontId="6" fillId="0" borderId="0" xfId="1" applyNumberFormat="1" applyFont="1" applyFill="1" applyBorder="1" applyAlignment="1" applyProtection="1">
      <alignment horizontal="right"/>
      <protection hidden="1"/>
    </xf>
    <xf numFmtId="170" fontId="15" fillId="3" borderId="2" xfId="0" applyNumberFormat="1" applyFont="1" applyFill="1" applyBorder="1" applyAlignment="1" applyProtection="1">
      <alignment vertical="center" wrapText="1"/>
      <protection hidden="1"/>
    </xf>
    <xf numFmtId="170" fontId="14" fillId="0" borderId="0" xfId="0" applyNumberFormat="1" applyFont="1" applyAlignment="1" applyProtection="1">
      <alignment horizontal="left"/>
      <protection hidden="1"/>
    </xf>
    <xf numFmtId="167" fontId="14" fillId="0" borderId="0" xfId="1" applyNumberFormat="1" applyFont="1" applyProtection="1">
      <protection hidden="1"/>
    </xf>
    <xf numFmtId="167" fontId="14" fillId="0" borderId="0" xfId="1" applyNumberFormat="1" applyFont="1" applyAlignment="1" applyProtection="1">
      <alignment horizontal="right"/>
      <protection hidden="1"/>
    </xf>
    <xf numFmtId="167" fontId="6" fillId="0" borderId="0" xfId="1" applyNumberFormat="1" applyFont="1" applyFill="1" applyBorder="1" applyAlignment="1" applyProtection="1">
      <alignment horizontal="right"/>
      <protection hidden="1"/>
    </xf>
    <xf numFmtId="165" fontId="14" fillId="0" borderId="0" xfId="1" applyFont="1" applyProtection="1">
      <protection hidden="1"/>
    </xf>
    <xf numFmtId="164" fontId="6" fillId="0" borderId="0" xfId="1" applyNumberFormat="1" applyFont="1" applyProtection="1">
      <protection hidden="1"/>
    </xf>
    <xf numFmtId="14" fontId="6" fillId="2" borderId="9" xfId="1" applyNumberFormat="1" applyFont="1" applyFill="1" applyBorder="1" applyAlignment="1" applyProtection="1">
      <alignment horizontal="center"/>
      <protection hidden="1"/>
    </xf>
    <xf numFmtId="167" fontId="6" fillId="0" borderId="3" xfId="0" applyNumberFormat="1" applyFont="1" applyBorder="1" applyProtection="1">
      <protection hidden="1"/>
    </xf>
    <xf numFmtId="167" fontId="7" fillId="0" borderId="4" xfId="0" applyNumberFormat="1" applyFont="1" applyBorder="1" applyProtection="1">
      <protection hidden="1"/>
    </xf>
    <xf numFmtId="10" fontId="6" fillId="2" borderId="2" xfId="3" applyNumberFormat="1" applyFont="1" applyFill="1" applyBorder="1" applyProtection="1">
      <protection hidden="1"/>
    </xf>
    <xf numFmtId="10" fontId="6" fillId="3" borderId="2" xfId="3" applyNumberFormat="1" applyFont="1" applyFill="1" applyBorder="1" applyProtection="1">
      <protection hidden="1"/>
    </xf>
    <xf numFmtId="0" fontId="6" fillId="5" borderId="10" xfId="1" applyNumberFormat="1" applyFont="1" applyFill="1" applyBorder="1" applyAlignment="1" applyProtection="1">
      <alignment horizontal="left"/>
      <protection hidden="1"/>
    </xf>
    <xf numFmtId="0" fontId="6" fillId="5" borderId="11" xfId="1" applyNumberFormat="1" applyFont="1" applyFill="1" applyBorder="1" applyAlignment="1" applyProtection="1">
      <alignment horizontal="left"/>
      <protection hidden="1"/>
    </xf>
    <xf numFmtId="0" fontId="6" fillId="5" borderId="12" xfId="1" applyNumberFormat="1" applyFont="1" applyFill="1" applyBorder="1" applyAlignment="1" applyProtection="1">
      <alignment horizontal="left"/>
      <protection hidden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">
    <dxf>
      <font>
        <b/>
        <i val="0"/>
        <color theme="0"/>
      </font>
      <fill>
        <patternFill>
          <bgColor rgb="FFFF66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50</xdr:col>
      <xdr:colOff>120312</xdr:colOff>
      <xdr:row>3</xdr:row>
      <xdr:rowOff>70182</xdr:rowOff>
    </xdr:from>
    <xdr:to>
      <xdr:col>50</xdr:col>
      <xdr:colOff>192312</xdr:colOff>
      <xdr:row>3</xdr:row>
      <xdr:rowOff>142182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940075" y="651708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49</xdr:col>
      <xdr:colOff>210546</xdr:colOff>
      <xdr:row>3</xdr:row>
      <xdr:rowOff>70182</xdr:rowOff>
    </xdr:from>
    <xdr:to>
      <xdr:col>49</xdr:col>
      <xdr:colOff>282546</xdr:colOff>
      <xdr:row>3</xdr:row>
      <xdr:rowOff>142182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1418704" y="651708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48</xdr:col>
      <xdr:colOff>220572</xdr:colOff>
      <xdr:row>3</xdr:row>
      <xdr:rowOff>90234</xdr:rowOff>
    </xdr:from>
    <xdr:to>
      <xdr:col>48</xdr:col>
      <xdr:colOff>292572</xdr:colOff>
      <xdr:row>3</xdr:row>
      <xdr:rowOff>162234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0255651" y="671760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170442</xdr:colOff>
      <xdr:row>7</xdr:row>
      <xdr:rowOff>100260</xdr:rowOff>
    </xdr:from>
    <xdr:to>
      <xdr:col>22</xdr:col>
      <xdr:colOff>242442</xdr:colOff>
      <xdr:row>7</xdr:row>
      <xdr:rowOff>172260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1606705" y="1443786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zoomScale="95" workbookViewId="0">
      <pane ySplit="3" topLeftCell="A13" activePane="bottomLeft" state="frozen"/>
      <selection pane="bottomLeft" activeCell="A32" sqref="A32"/>
    </sheetView>
  </sheetViews>
  <sheetFormatPr defaultColWidth="9.1328125" defaultRowHeight="15" customHeight="1" x14ac:dyDescent="0.3"/>
  <cols>
    <col min="1" max="1" width="34.59765625" style="7" customWidth="1"/>
    <col min="2" max="2" width="15.73046875" style="8" customWidth="1"/>
    <col min="3" max="8" width="15.73046875" style="4" customWidth="1"/>
    <col min="9" max="14" width="15.73046875" style="5" customWidth="1"/>
    <col min="15" max="16384" width="9.1328125" style="5"/>
  </cols>
  <sheetData>
    <row r="1" spans="1:8" x14ac:dyDescent="0.4">
      <c r="A1" s="1" t="str">
        <f>$B$4</f>
        <v>Example Trading Limited</v>
      </c>
      <c r="B1" s="3"/>
    </row>
    <row r="2" spans="1:8" ht="15" customHeight="1" x14ac:dyDescent="0.35">
      <c r="A2" s="6" t="s">
        <v>74</v>
      </c>
      <c r="B2" s="3"/>
    </row>
    <row r="4" spans="1:8" ht="15" customHeight="1" x14ac:dyDescent="0.35">
      <c r="A4" s="2" t="s">
        <v>73</v>
      </c>
      <c r="B4" s="89" t="s">
        <v>106</v>
      </c>
      <c r="C4" s="90"/>
      <c r="D4" s="91"/>
    </row>
    <row r="5" spans="1:8" s="11" customFormat="1" ht="15" customHeight="1" x14ac:dyDescent="0.35">
      <c r="A5" s="2" t="s">
        <v>53</v>
      </c>
      <c r="B5" s="84">
        <v>42430</v>
      </c>
      <c r="C5" s="9"/>
      <c r="D5" s="9"/>
      <c r="E5" s="9"/>
      <c r="F5" s="10"/>
      <c r="G5" s="10"/>
      <c r="H5" s="10"/>
    </row>
    <row r="6" spans="1:8" s="11" customFormat="1" ht="15" customHeight="1" x14ac:dyDescent="0.35">
      <c r="A6" s="2" t="s">
        <v>1</v>
      </c>
      <c r="B6" s="3"/>
      <c r="C6" s="9"/>
      <c r="D6" s="9"/>
      <c r="E6" s="9"/>
      <c r="F6" s="10"/>
      <c r="G6" s="10"/>
      <c r="H6" s="10"/>
    </row>
    <row r="7" spans="1:8" ht="15" customHeight="1" x14ac:dyDescent="0.35">
      <c r="A7" s="6" t="s">
        <v>103</v>
      </c>
      <c r="C7" s="12"/>
    </row>
    <row r="8" spans="1:8" ht="15" customHeight="1" x14ac:dyDescent="0.35">
      <c r="A8" s="2" t="s">
        <v>4</v>
      </c>
      <c r="B8" s="3"/>
    </row>
    <row r="9" spans="1:8" ht="15" customHeight="1" x14ac:dyDescent="0.35">
      <c r="A9" s="6" t="s">
        <v>104</v>
      </c>
      <c r="C9" s="13"/>
      <c r="D9" s="13"/>
      <c r="E9" s="13"/>
    </row>
    <row r="10" spans="1:8" ht="15" customHeight="1" x14ac:dyDescent="0.35">
      <c r="A10" s="2" t="s">
        <v>59</v>
      </c>
      <c r="B10" s="3"/>
    </row>
    <row r="11" spans="1:8" ht="15" customHeight="1" x14ac:dyDescent="0.35">
      <c r="A11" s="6" t="s">
        <v>105</v>
      </c>
      <c r="C11" s="12"/>
    </row>
    <row r="12" spans="1:8" ht="15" customHeight="1" x14ac:dyDescent="0.35">
      <c r="A12" s="2" t="s">
        <v>31</v>
      </c>
      <c r="B12" s="3"/>
    </row>
    <row r="13" spans="1:8" ht="15" customHeight="1" x14ac:dyDescent="0.3">
      <c r="A13" s="7" t="s">
        <v>34</v>
      </c>
      <c r="B13" s="14">
        <v>25</v>
      </c>
      <c r="D13" s="12"/>
      <c r="E13" s="12"/>
    </row>
    <row r="14" spans="1:8" ht="15" customHeight="1" x14ac:dyDescent="0.3">
      <c r="A14" s="7" t="s">
        <v>32</v>
      </c>
      <c r="B14" s="14">
        <v>30</v>
      </c>
      <c r="D14" s="12"/>
      <c r="E14" s="12"/>
    </row>
    <row r="15" spans="1:8" ht="15" customHeight="1" x14ac:dyDescent="0.3">
      <c r="A15" s="7" t="s">
        <v>33</v>
      </c>
      <c r="B15" s="14">
        <v>15</v>
      </c>
      <c r="D15" s="12"/>
      <c r="E15" s="12"/>
    </row>
    <row r="16" spans="1:8" ht="15" customHeight="1" x14ac:dyDescent="0.35">
      <c r="A16" s="2" t="s">
        <v>44</v>
      </c>
      <c r="C16" s="12"/>
      <c r="D16" s="12"/>
      <c r="E16" s="12"/>
    </row>
    <row r="17" spans="1:5" ht="15" customHeight="1" x14ac:dyDescent="0.3">
      <c r="A17" s="7" t="s">
        <v>60</v>
      </c>
      <c r="B17" s="14">
        <v>800000</v>
      </c>
      <c r="C17" s="12" t="str">
        <f>IF(SUM(B17:B25)&lt;&gt;0,"The total of the start-up balances should be nil!","")</f>
        <v/>
      </c>
      <c r="D17" s="12"/>
      <c r="E17" s="12"/>
    </row>
    <row r="18" spans="1:5" ht="15" customHeight="1" x14ac:dyDescent="0.3">
      <c r="A18" s="7" t="s">
        <v>28</v>
      </c>
      <c r="B18" s="14">
        <v>140000</v>
      </c>
      <c r="C18" s="12"/>
      <c r="D18" s="12"/>
      <c r="E18" s="12"/>
    </row>
    <row r="19" spans="1:5" ht="15" customHeight="1" x14ac:dyDescent="0.3">
      <c r="A19" s="7" t="s">
        <v>29</v>
      </c>
      <c r="B19" s="14">
        <v>250000</v>
      </c>
      <c r="C19" s="12"/>
      <c r="D19" s="12"/>
      <c r="E19" s="12"/>
    </row>
    <row r="20" spans="1:5" ht="15" customHeight="1" x14ac:dyDescent="0.3">
      <c r="A20" s="7" t="s">
        <v>39</v>
      </c>
      <c r="B20" s="14">
        <v>21000</v>
      </c>
      <c r="C20" s="12"/>
      <c r="D20" s="12"/>
      <c r="E20" s="12"/>
    </row>
    <row r="21" spans="1:5" ht="15" customHeight="1" x14ac:dyDescent="0.3">
      <c r="A21" s="15" t="s">
        <v>0</v>
      </c>
      <c r="B21" s="14">
        <v>-1000</v>
      </c>
      <c r="C21" s="12"/>
      <c r="D21" s="12"/>
      <c r="E21" s="12"/>
    </row>
    <row r="22" spans="1:5" ht="15" customHeight="1" x14ac:dyDescent="0.3">
      <c r="A22" s="15" t="s">
        <v>41</v>
      </c>
      <c r="B22" s="14">
        <v>0</v>
      </c>
      <c r="C22" s="12"/>
      <c r="D22" s="12"/>
      <c r="E22" s="12"/>
    </row>
    <row r="23" spans="1:5" ht="15" customHeight="1" x14ac:dyDescent="0.3">
      <c r="A23" s="7" t="s">
        <v>45</v>
      </c>
      <c r="B23" s="14">
        <v>-1100000</v>
      </c>
      <c r="C23" s="12" t="str">
        <f>IF($B$23&gt;0,"The long term loans start-up balance should be entered as a negative value!","")</f>
        <v/>
      </c>
      <c r="D23" s="12"/>
      <c r="E23" s="12"/>
    </row>
    <row r="24" spans="1:5" ht="15" customHeight="1" x14ac:dyDescent="0.3">
      <c r="A24" s="7" t="s">
        <v>30</v>
      </c>
      <c r="B24" s="14">
        <v>-110000</v>
      </c>
      <c r="C24" s="12"/>
      <c r="D24" s="12"/>
      <c r="E24" s="12"/>
    </row>
    <row r="25" spans="1:5" ht="15" customHeight="1" x14ac:dyDescent="0.3">
      <c r="A25" s="7" t="s">
        <v>56</v>
      </c>
      <c r="B25" s="14">
        <v>0</v>
      </c>
      <c r="C25" s="12"/>
      <c r="D25" s="12"/>
      <c r="E25" s="12"/>
    </row>
    <row r="26" spans="1:5" ht="15" customHeight="1" x14ac:dyDescent="0.35">
      <c r="A26" s="2" t="s">
        <v>58</v>
      </c>
      <c r="B26" s="12"/>
      <c r="C26" s="12"/>
      <c r="D26" s="12"/>
      <c r="E26" s="12"/>
    </row>
    <row r="27" spans="1:5" ht="15" customHeight="1" x14ac:dyDescent="0.3">
      <c r="A27" s="15" t="s">
        <v>36</v>
      </c>
      <c r="B27" s="87">
        <v>0.105</v>
      </c>
      <c r="C27" s="12"/>
      <c r="D27" s="12"/>
      <c r="E27" s="12"/>
    </row>
    <row r="28" spans="1:5" ht="15" customHeight="1" x14ac:dyDescent="0.3">
      <c r="A28" s="15" t="s">
        <v>72</v>
      </c>
      <c r="B28" s="17">
        <v>5</v>
      </c>
      <c r="C28" s="12"/>
      <c r="D28" s="12"/>
      <c r="E28" s="12"/>
    </row>
    <row r="29" spans="1:5" ht="15" customHeight="1" x14ac:dyDescent="0.3">
      <c r="A29" s="15" t="s">
        <v>47</v>
      </c>
      <c r="B29" s="18" t="s">
        <v>48</v>
      </c>
      <c r="C29" s="12"/>
      <c r="D29" s="12"/>
      <c r="E29" s="12"/>
    </row>
    <row r="30" spans="1:5" ht="15" customHeight="1" x14ac:dyDescent="0.35">
      <c r="A30" s="2" t="s">
        <v>43</v>
      </c>
      <c r="B30" s="3"/>
    </row>
    <row r="31" spans="1:5" ht="15" customHeight="1" x14ac:dyDescent="0.3">
      <c r="A31" s="7" t="s">
        <v>35</v>
      </c>
      <c r="B31" s="16">
        <v>0.28000000000000003</v>
      </c>
    </row>
    <row r="32" spans="1:5" ht="15" customHeight="1" x14ac:dyDescent="0.35">
      <c r="A32" s="19" t="s">
        <v>57</v>
      </c>
    </row>
  </sheetData>
  <mergeCells count="1">
    <mergeCell ref="B4:D4"/>
  </mergeCells>
  <phoneticPr fontId="3" type="noConversion"/>
  <conditionalFormatting sqref="B17:B25">
    <cfRule type="expression" dxfId="1" priority="1" stopIfTrue="1">
      <formula>SUM($B$17:$B$25)&lt;&gt;0</formula>
    </cfRule>
  </conditionalFormatting>
  <conditionalFormatting sqref="B23">
    <cfRule type="cellIs" dxfId="0" priority="2" stopIfTrue="1" operator="greaterThan">
      <formula>0</formula>
    </cfRule>
  </conditionalFormatting>
  <dataValidations count="7">
    <dataValidation type="list" allowBlank="1" showInputMessage="1" showErrorMessage="1" errorTitle="Invalid Data" error="Select a valid item from the list box." sqref="B29" xr:uid="{00000000-0002-0000-0100-000000000000}">
      <formula1>"Yes,No"</formula1>
    </dataValidation>
    <dataValidation type="whole" allowBlank="1" showInputMessage="1" showErrorMessage="1" errorTitle="Invalid Repayment Term" error="The repayment term must be greater than 1 year and less than 10 years. If the forecast includes no long term loans, leave the default repayment term unchanged - it will have no effect on the cash flow calculations." sqref="B28" xr:uid="{00000000-0002-0000-0100-000001000000}">
      <formula1>1</formula1>
      <formula2>10</formula2>
    </dataValidation>
    <dataValidation operator="lessThan" allowBlank="1" showInputMessage="1" showErrorMessage="1" errorTitle="Invalid Input" error="The estimated Creditors balances should be entered as a negative value." sqref="D15:E15 B15" xr:uid="{00000000-0002-0000-0100-000002000000}"/>
    <dataValidation type="decimal" allowBlank="1" showInputMessage="1" showErrorMessage="1" errorTitle="Invalid Input" error="Please enter the value as a percentage - should therefore be a value between 0 and 1." sqref="C9:E9" xr:uid="{00000000-0002-0000-0100-000003000000}">
      <formula1>0</formula1>
      <formula2>1</formula2>
    </dataValidation>
    <dataValidation type="date" operator="greaterThan" allowBlank="1" showInputMessage="1" showErrorMessage="1" errorTitle="Invalid Date" error="The start date should be entered in accordance with the regional date settings that are specified in the System Control Panel." sqref="B5" xr:uid="{00000000-0002-0000-0100-000004000000}">
      <formula1>36526</formula1>
    </dataValidation>
    <dataValidation type="decimal" allowBlank="1" showInputMessage="1" showErrorMessage="1" errorTitle="Invalid Data" error="Enter an interest rate percentage that is between 0% and 100%." sqref="B27" xr:uid="{00000000-0002-0000-0100-000005000000}">
      <formula1>0</formula1>
      <formula2>1</formula2>
    </dataValidation>
    <dataValidation type="decimal" allowBlank="1" showInputMessage="1" showErrorMessage="1" errorTitle="Invalid Data" error="Enter an income tax percentage that is between 0% and 100%." sqref="B31" xr:uid="{00000000-0002-0000-0100-000006000000}">
      <formula1>0</formula1>
      <formula2>1</formula2>
    </dataValidation>
  </dataValidations>
  <pageMargins left="0.55118110236220474" right="0.55118110236220474" top="0.59055118110236227" bottom="0.59055118110236227" header="0.39370078740157483" footer="0.39370078740157483"/>
  <pageSetup paperSize="9" orientation="portrait" r:id="rId1"/>
  <headerFooter alignWithMargins="0">
    <oddFooter>&amp;C&amp;9Page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5"/>
  <sheetViews>
    <sheetView zoomScale="95" zoomScaleNormal="9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C5" sqref="C5"/>
    </sheetView>
  </sheetViews>
  <sheetFormatPr defaultColWidth="9.1328125" defaultRowHeight="15" customHeight="1" x14ac:dyDescent="0.3"/>
  <cols>
    <col min="1" max="1" width="3.73046875" style="5" customWidth="1"/>
    <col min="2" max="2" width="39.73046875" style="7" customWidth="1"/>
    <col min="3" max="6" width="12.73046875" style="8" customWidth="1"/>
    <col min="7" max="14" width="12.73046875" style="5" customWidth="1"/>
    <col min="15" max="15" width="13.73046875" style="5" customWidth="1"/>
    <col min="16" max="27" width="12.73046875" style="5" customWidth="1"/>
    <col min="28" max="28" width="13.73046875" style="5" customWidth="1"/>
    <col min="29" max="40" width="12.73046875" style="5" customWidth="1"/>
    <col min="41" max="41" width="13.73046875" style="5" customWidth="1"/>
    <col min="42" max="16384" width="9.1328125" style="5"/>
  </cols>
  <sheetData>
    <row r="1" spans="1:41" x14ac:dyDescent="0.4">
      <c r="B1" s="1" t="str">
        <f>Assumptions!$B$4</f>
        <v>Example Trading Limited</v>
      </c>
    </row>
    <row r="2" spans="1:41" ht="15" customHeight="1" x14ac:dyDescent="0.35">
      <c r="B2" s="6" t="s">
        <v>75</v>
      </c>
    </row>
    <row r="3" spans="1:41" ht="15" customHeight="1" x14ac:dyDescent="0.35">
      <c r="B3" s="20" t="s">
        <v>71</v>
      </c>
    </row>
    <row r="4" spans="1:41" s="21" customFormat="1" ht="18" customHeight="1" x14ac:dyDescent="0.35">
      <c r="B4" s="22"/>
      <c r="C4" s="23">
        <f ca="1">IF(ISBLANK(Assumptions!$B$5)=TRUE,DATE(YEAR(TODAY()),MONTH(TODAY())+1,0),DATE(YEAR(Assumptions!$B$5),MONTH(Assumptions!$B$5)+1,0))</f>
        <v>42460</v>
      </c>
      <c r="D4" s="23">
        <f t="shared" ref="D4:N4" ca="1" si="0">DATE(YEAR(C4),MONTH(C4)+2,0)</f>
        <v>42490</v>
      </c>
      <c r="E4" s="23">
        <f t="shared" ca="1" si="0"/>
        <v>42521</v>
      </c>
      <c r="F4" s="23">
        <f t="shared" ca="1" si="0"/>
        <v>42551</v>
      </c>
      <c r="G4" s="23">
        <f t="shared" ca="1" si="0"/>
        <v>42582</v>
      </c>
      <c r="H4" s="23">
        <f t="shared" ca="1" si="0"/>
        <v>42613</v>
      </c>
      <c r="I4" s="23">
        <f t="shared" ca="1" si="0"/>
        <v>42643</v>
      </c>
      <c r="J4" s="23">
        <f t="shared" ca="1" si="0"/>
        <v>42674</v>
      </c>
      <c r="K4" s="23">
        <f t="shared" ca="1" si="0"/>
        <v>42704</v>
      </c>
      <c r="L4" s="23">
        <f t="shared" ca="1" si="0"/>
        <v>42735</v>
      </c>
      <c r="M4" s="23">
        <f t="shared" ca="1" si="0"/>
        <v>42766</v>
      </c>
      <c r="N4" s="23">
        <f t="shared" ca="1" si="0"/>
        <v>42794</v>
      </c>
      <c r="O4" s="24" t="str">
        <f ca="1">"Year-"&amp;YEAR(N4)</f>
        <v>Year-2017</v>
      </c>
      <c r="P4" s="23">
        <f ca="1">DATE(YEAR(N4),MONTH(N4)+2,0)</f>
        <v>42825</v>
      </c>
      <c r="Q4" s="23">
        <f t="shared" ref="Q4:AA4" ca="1" si="1">DATE(YEAR(P4),MONTH(P4)+2,0)</f>
        <v>42855</v>
      </c>
      <c r="R4" s="23">
        <f t="shared" ca="1" si="1"/>
        <v>42886</v>
      </c>
      <c r="S4" s="23">
        <f t="shared" ca="1" si="1"/>
        <v>42916</v>
      </c>
      <c r="T4" s="23">
        <f t="shared" ca="1" si="1"/>
        <v>42947</v>
      </c>
      <c r="U4" s="23">
        <f t="shared" ca="1" si="1"/>
        <v>42978</v>
      </c>
      <c r="V4" s="23">
        <f t="shared" ca="1" si="1"/>
        <v>43008</v>
      </c>
      <c r="W4" s="23">
        <f t="shared" ca="1" si="1"/>
        <v>43039</v>
      </c>
      <c r="X4" s="23">
        <f t="shared" ca="1" si="1"/>
        <v>43069</v>
      </c>
      <c r="Y4" s="23">
        <f t="shared" ca="1" si="1"/>
        <v>43100</v>
      </c>
      <c r="Z4" s="23">
        <f t="shared" ca="1" si="1"/>
        <v>43131</v>
      </c>
      <c r="AA4" s="23">
        <f t="shared" ca="1" si="1"/>
        <v>43159</v>
      </c>
      <c r="AB4" s="24" t="str">
        <f ca="1">"Year-"&amp;YEAR(AA4)</f>
        <v>Year-2018</v>
      </c>
      <c r="AC4" s="23">
        <f ca="1">DATE(YEAR(AA4),MONTH(AA4)+2,0)</f>
        <v>43190</v>
      </c>
      <c r="AD4" s="23">
        <f t="shared" ref="AD4:AN4" ca="1" si="2">DATE(YEAR(AC4),MONTH(AC4)+2,0)</f>
        <v>43220</v>
      </c>
      <c r="AE4" s="23">
        <f t="shared" ca="1" si="2"/>
        <v>43251</v>
      </c>
      <c r="AF4" s="23">
        <f t="shared" ca="1" si="2"/>
        <v>43281</v>
      </c>
      <c r="AG4" s="23">
        <f t="shared" ca="1" si="2"/>
        <v>43312</v>
      </c>
      <c r="AH4" s="23">
        <f t="shared" ca="1" si="2"/>
        <v>43343</v>
      </c>
      <c r="AI4" s="23">
        <f t="shared" ca="1" si="2"/>
        <v>43373</v>
      </c>
      <c r="AJ4" s="23">
        <f t="shared" ca="1" si="2"/>
        <v>43404</v>
      </c>
      <c r="AK4" s="23">
        <f t="shared" ca="1" si="2"/>
        <v>43434</v>
      </c>
      <c r="AL4" s="23">
        <f t="shared" ca="1" si="2"/>
        <v>43465</v>
      </c>
      <c r="AM4" s="23">
        <f t="shared" ca="1" si="2"/>
        <v>43496</v>
      </c>
      <c r="AN4" s="23">
        <f t="shared" ca="1" si="2"/>
        <v>43524</v>
      </c>
      <c r="AO4" s="24" t="str">
        <f ca="1">"Year-"&amp;YEAR(AN4)</f>
        <v>Year-2019</v>
      </c>
    </row>
    <row r="5" spans="1:41" s="3" customFormat="1" ht="15" customHeight="1" x14ac:dyDescent="0.35">
      <c r="A5" s="25"/>
      <c r="B5" s="26" t="s">
        <v>1</v>
      </c>
      <c r="C5" s="27">
        <v>300000</v>
      </c>
      <c r="D5" s="28">
        <v>340000</v>
      </c>
      <c r="E5" s="28">
        <v>320000</v>
      </c>
      <c r="F5" s="28">
        <v>321000</v>
      </c>
      <c r="G5" s="28">
        <v>305000</v>
      </c>
      <c r="H5" s="28">
        <v>320000</v>
      </c>
      <c r="I5" s="28">
        <v>315000</v>
      </c>
      <c r="J5" s="28">
        <v>300000</v>
      </c>
      <c r="K5" s="28">
        <v>320000</v>
      </c>
      <c r="L5" s="28">
        <v>330000</v>
      </c>
      <c r="M5" s="28">
        <v>328000</v>
      </c>
      <c r="N5" s="28">
        <v>310000</v>
      </c>
      <c r="O5" s="28">
        <f>SUM(C5:N5)</f>
        <v>3809000</v>
      </c>
      <c r="P5" s="28">
        <v>350000</v>
      </c>
      <c r="Q5" s="28">
        <v>320000</v>
      </c>
      <c r="R5" s="28">
        <v>345000</v>
      </c>
      <c r="S5" s="28">
        <v>354000</v>
      </c>
      <c r="T5" s="28">
        <v>347000</v>
      </c>
      <c r="U5" s="28">
        <v>310000</v>
      </c>
      <c r="V5" s="28">
        <v>315000</v>
      </c>
      <c r="W5" s="28">
        <v>350000</v>
      </c>
      <c r="X5" s="28">
        <v>338000</v>
      </c>
      <c r="Y5" s="28">
        <v>362000</v>
      </c>
      <c r="Z5" s="28">
        <v>357000</v>
      </c>
      <c r="AA5" s="28">
        <v>353000</v>
      </c>
      <c r="AB5" s="28">
        <f>SUM(P5:AA5)</f>
        <v>4101000</v>
      </c>
      <c r="AC5" s="28">
        <v>362000</v>
      </c>
      <c r="AD5" s="28">
        <v>368000</v>
      </c>
      <c r="AE5" s="28">
        <v>349000</v>
      </c>
      <c r="AF5" s="28">
        <v>370000</v>
      </c>
      <c r="AG5" s="28">
        <v>364000</v>
      </c>
      <c r="AH5" s="28">
        <v>381000</v>
      </c>
      <c r="AI5" s="28">
        <v>389000</v>
      </c>
      <c r="AJ5" s="28">
        <v>372000</v>
      </c>
      <c r="AK5" s="28">
        <v>380000</v>
      </c>
      <c r="AL5" s="28">
        <v>385000</v>
      </c>
      <c r="AM5" s="28">
        <v>374000</v>
      </c>
      <c r="AN5" s="28">
        <v>390000</v>
      </c>
      <c r="AO5" s="28">
        <f>SUM(AC5:AN5)</f>
        <v>4484000</v>
      </c>
    </row>
    <row r="6" spans="1:41" s="8" customFormat="1" ht="15" customHeigh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</row>
    <row r="7" spans="1:41" s="3" customFormat="1" ht="15" customHeight="1" x14ac:dyDescent="0.35">
      <c r="B7" s="26" t="s">
        <v>2</v>
      </c>
      <c r="C7" s="31">
        <f t="shared" ref="C7:N7" si="3">SUM(C5,-C9)</f>
        <v>195000</v>
      </c>
      <c r="D7" s="31">
        <f t="shared" si="3"/>
        <v>217600</v>
      </c>
      <c r="E7" s="31">
        <f t="shared" si="3"/>
        <v>208000</v>
      </c>
      <c r="F7" s="31">
        <f t="shared" si="3"/>
        <v>205440</v>
      </c>
      <c r="G7" s="31">
        <f t="shared" si="3"/>
        <v>192150</v>
      </c>
      <c r="H7" s="31">
        <f t="shared" si="3"/>
        <v>201600</v>
      </c>
      <c r="I7" s="31">
        <f t="shared" si="3"/>
        <v>198450</v>
      </c>
      <c r="J7" s="31">
        <f t="shared" si="3"/>
        <v>189000</v>
      </c>
      <c r="K7" s="31">
        <f t="shared" si="3"/>
        <v>201600</v>
      </c>
      <c r="L7" s="31">
        <f t="shared" si="3"/>
        <v>207900</v>
      </c>
      <c r="M7" s="31">
        <f t="shared" si="3"/>
        <v>206640</v>
      </c>
      <c r="N7" s="31">
        <f t="shared" si="3"/>
        <v>195300</v>
      </c>
      <c r="O7" s="31">
        <f>SUM(C7:N7)</f>
        <v>2418680</v>
      </c>
      <c r="P7" s="31">
        <f t="shared" ref="P7:AA7" si="4">SUM(P5,-P9)</f>
        <v>220500</v>
      </c>
      <c r="Q7" s="31">
        <f t="shared" si="4"/>
        <v>201600</v>
      </c>
      <c r="R7" s="31">
        <f t="shared" si="4"/>
        <v>217350</v>
      </c>
      <c r="S7" s="31">
        <f t="shared" si="4"/>
        <v>223020</v>
      </c>
      <c r="T7" s="31">
        <f t="shared" si="4"/>
        <v>218610</v>
      </c>
      <c r="U7" s="31">
        <f t="shared" si="4"/>
        <v>192200</v>
      </c>
      <c r="V7" s="31">
        <f t="shared" si="4"/>
        <v>195300</v>
      </c>
      <c r="W7" s="31">
        <f t="shared" si="4"/>
        <v>217000</v>
      </c>
      <c r="X7" s="31">
        <f t="shared" si="4"/>
        <v>209560</v>
      </c>
      <c r="Y7" s="31">
        <f t="shared" si="4"/>
        <v>224440</v>
      </c>
      <c r="Z7" s="31">
        <f t="shared" si="4"/>
        <v>221340</v>
      </c>
      <c r="AA7" s="31">
        <f t="shared" si="4"/>
        <v>215330</v>
      </c>
      <c r="AB7" s="31">
        <f>SUM(P7:AA7)</f>
        <v>2556250</v>
      </c>
      <c r="AC7" s="31">
        <f t="shared" ref="AC7:AN7" si="5">SUM(AC5,-AC9)</f>
        <v>217200</v>
      </c>
      <c r="AD7" s="31">
        <f t="shared" si="5"/>
        <v>220800</v>
      </c>
      <c r="AE7" s="31">
        <f t="shared" si="5"/>
        <v>209400</v>
      </c>
      <c r="AF7" s="31">
        <f t="shared" si="5"/>
        <v>222000</v>
      </c>
      <c r="AG7" s="31">
        <f t="shared" si="5"/>
        <v>218400</v>
      </c>
      <c r="AH7" s="31">
        <f t="shared" si="5"/>
        <v>228600</v>
      </c>
      <c r="AI7" s="31">
        <f t="shared" si="5"/>
        <v>233400</v>
      </c>
      <c r="AJ7" s="31">
        <f t="shared" si="5"/>
        <v>223200</v>
      </c>
      <c r="AK7" s="31">
        <f t="shared" si="5"/>
        <v>228000</v>
      </c>
      <c r="AL7" s="31">
        <f t="shared" si="5"/>
        <v>231000</v>
      </c>
      <c r="AM7" s="31">
        <f t="shared" si="5"/>
        <v>224400</v>
      </c>
      <c r="AN7" s="31">
        <f t="shared" si="5"/>
        <v>234000</v>
      </c>
      <c r="AO7" s="31">
        <f>SUM(AC7:AN7)</f>
        <v>2690400</v>
      </c>
    </row>
    <row r="8" spans="1:41" s="8" customFormat="1" ht="15" customHeight="1" x14ac:dyDescent="0.3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s="3" customFormat="1" ht="15" customHeight="1" x14ac:dyDescent="0.35">
      <c r="B9" s="26" t="s">
        <v>3</v>
      </c>
      <c r="C9" s="31">
        <f t="shared" ref="C9:N9" si="6">C5*C10</f>
        <v>105000</v>
      </c>
      <c r="D9" s="31">
        <f t="shared" si="6"/>
        <v>122400</v>
      </c>
      <c r="E9" s="31">
        <f t="shared" si="6"/>
        <v>112000</v>
      </c>
      <c r="F9" s="31">
        <f t="shared" si="6"/>
        <v>115560</v>
      </c>
      <c r="G9" s="31">
        <f t="shared" si="6"/>
        <v>112850</v>
      </c>
      <c r="H9" s="31">
        <f t="shared" si="6"/>
        <v>118400</v>
      </c>
      <c r="I9" s="31">
        <f t="shared" si="6"/>
        <v>116550</v>
      </c>
      <c r="J9" s="31">
        <f t="shared" si="6"/>
        <v>111000</v>
      </c>
      <c r="K9" s="31">
        <f t="shared" si="6"/>
        <v>118400</v>
      </c>
      <c r="L9" s="31">
        <f t="shared" si="6"/>
        <v>122100</v>
      </c>
      <c r="M9" s="31">
        <f t="shared" si="6"/>
        <v>121360</v>
      </c>
      <c r="N9" s="31">
        <f t="shared" si="6"/>
        <v>114700</v>
      </c>
      <c r="O9" s="31">
        <f>SUM(C9:N9)</f>
        <v>1390320</v>
      </c>
      <c r="P9" s="31">
        <f t="shared" ref="P9:AA9" si="7">P5*P10</f>
        <v>129500</v>
      </c>
      <c r="Q9" s="31">
        <f t="shared" si="7"/>
        <v>118400</v>
      </c>
      <c r="R9" s="31">
        <f t="shared" si="7"/>
        <v>127650</v>
      </c>
      <c r="S9" s="31">
        <f t="shared" si="7"/>
        <v>130980</v>
      </c>
      <c r="T9" s="31">
        <f t="shared" si="7"/>
        <v>128390</v>
      </c>
      <c r="U9" s="31">
        <f t="shared" si="7"/>
        <v>117800</v>
      </c>
      <c r="V9" s="31">
        <f t="shared" si="7"/>
        <v>119700</v>
      </c>
      <c r="W9" s="31">
        <f t="shared" si="7"/>
        <v>133000</v>
      </c>
      <c r="X9" s="31">
        <f t="shared" si="7"/>
        <v>128440</v>
      </c>
      <c r="Y9" s="31">
        <f t="shared" si="7"/>
        <v>137560</v>
      </c>
      <c r="Z9" s="31">
        <f t="shared" si="7"/>
        <v>135660</v>
      </c>
      <c r="AA9" s="31">
        <f t="shared" si="7"/>
        <v>137670</v>
      </c>
      <c r="AB9" s="31">
        <f>SUM(P9:AA9)</f>
        <v>1544750</v>
      </c>
      <c r="AC9" s="31">
        <f t="shared" ref="AC9:AN9" si="8">AC5*AC10</f>
        <v>144800</v>
      </c>
      <c r="AD9" s="31">
        <f t="shared" si="8"/>
        <v>147200</v>
      </c>
      <c r="AE9" s="31">
        <f t="shared" si="8"/>
        <v>139600</v>
      </c>
      <c r="AF9" s="31">
        <f t="shared" si="8"/>
        <v>148000</v>
      </c>
      <c r="AG9" s="31">
        <f t="shared" si="8"/>
        <v>145600</v>
      </c>
      <c r="AH9" s="31">
        <f t="shared" si="8"/>
        <v>152400</v>
      </c>
      <c r="AI9" s="31">
        <f t="shared" si="8"/>
        <v>155600</v>
      </c>
      <c r="AJ9" s="31">
        <f t="shared" si="8"/>
        <v>148800</v>
      </c>
      <c r="AK9" s="31">
        <f t="shared" si="8"/>
        <v>152000</v>
      </c>
      <c r="AL9" s="31">
        <f t="shared" si="8"/>
        <v>154000</v>
      </c>
      <c r="AM9" s="31">
        <f t="shared" si="8"/>
        <v>149600</v>
      </c>
      <c r="AN9" s="31">
        <f t="shared" si="8"/>
        <v>156000</v>
      </c>
      <c r="AO9" s="31">
        <f>SUM(AC9:AN9)</f>
        <v>1793600</v>
      </c>
    </row>
    <row r="10" spans="1:41" s="32" customFormat="1" ht="15" customHeight="1" x14ac:dyDescent="0.35">
      <c r="A10" s="25"/>
      <c r="B10" s="32" t="s">
        <v>4</v>
      </c>
      <c r="C10" s="33">
        <v>0.35</v>
      </c>
      <c r="D10" s="33">
        <v>0.36</v>
      </c>
      <c r="E10" s="33">
        <v>0.35</v>
      </c>
      <c r="F10" s="34">
        <v>0.36</v>
      </c>
      <c r="G10" s="34">
        <v>0.37</v>
      </c>
      <c r="H10" s="34">
        <v>0.37</v>
      </c>
      <c r="I10" s="34">
        <v>0.37</v>
      </c>
      <c r="J10" s="34">
        <v>0.37</v>
      </c>
      <c r="K10" s="34">
        <v>0.37</v>
      </c>
      <c r="L10" s="34">
        <v>0.37</v>
      </c>
      <c r="M10" s="34">
        <v>0.37</v>
      </c>
      <c r="N10" s="34">
        <v>0.37</v>
      </c>
      <c r="O10" s="34">
        <f>IF(O5=0,0,O9/O5)</f>
        <v>0.36500918876345495</v>
      </c>
      <c r="P10" s="34">
        <v>0.37</v>
      </c>
      <c r="Q10" s="34">
        <v>0.37</v>
      </c>
      <c r="R10" s="34">
        <v>0.37</v>
      </c>
      <c r="S10" s="34">
        <v>0.37</v>
      </c>
      <c r="T10" s="34">
        <v>0.37</v>
      </c>
      <c r="U10" s="34">
        <v>0.38</v>
      </c>
      <c r="V10" s="34">
        <v>0.38</v>
      </c>
      <c r="W10" s="34">
        <v>0.38</v>
      </c>
      <c r="X10" s="34">
        <v>0.38</v>
      </c>
      <c r="Y10" s="34">
        <v>0.38</v>
      </c>
      <c r="Z10" s="34">
        <v>0.38</v>
      </c>
      <c r="AA10" s="34">
        <v>0.39</v>
      </c>
      <c r="AB10" s="34">
        <f>IF(AB5=0,0,AB9/AB5)</f>
        <v>0.37667642038527188</v>
      </c>
      <c r="AC10" s="34">
        <v>0.4</v>
      </c>
      <c r="AD10" s="34">
        <v>0.4</v>
      </c>
      <c r="AE10" s="34">
        <v>0.4</v>
      </c>
      <c r="AF10" s="34">
        <v>0.4</v>
      </c>
      <c r="AG10" s="34">
        <v>0.4</v>
      </c>
      <c r="AH10" s="34">
        <v>0.4</v>
      </c>
      <c r="AI10" s="34">
        <v>0.4</v>
      </c>
      <c r="AJ10" s="34">
        <v>0.4</v>
      </c>
      <c r="AK10" s="34">
        <v>0.4</v>
      </c>
      <c r="AL10" s="34">
        <v>0.4</v>
      </c>
      <c r="AM10" s="34">
        <v>0.4</v>
      </c>
      <c r="AN10" s="34">
        <v>0.4</v>
      </c>
      <c r="AO10" s="34">
        <f>IF(AO5=0,0,AO9/AO5)</f>
        <v>0.4</v>
      </c>
    </row>
    <row r="11" spans="1:41" ht="15" customHeight="1" x14ac:dyDescent="0.3">
      <c r="C11" s="30"/>
      <c r="D11" s="30"/>
      <c r="E11" s="30"/>
      <c r="F11" s="30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15" customHeight="1" x14ac:dyDescent="0.35">
      <c r="B12" s="2" t="s">
        <v>59</v>
      </c>
      <c r="C12" s="30"/>
      <c r="D12" s="30"/>
      <c r="E12" s="30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s="8" customFormat="1" ht="15" customHeight="1" x14ac:dyDescent="0.35">
      <c r="A13" s="25"/>
      <c r="B13" s="29" t="s">
        <v>5</v>
      </c>
      <c r="C13" s="30">
        <v>2000</v>
      </c>
      <c r="D13" s="30">
        <v>2000</v>
      </c>
      <c r="E13" s="30">
        <v>2000</v>
      </c>
      <c r="F13" s="30">
        <v>2000</v>
      </c>
      <c r="G13" s="30">
        <v>2000</v>
      </c>
      <c r="H13" s="30">
        <v>2000</v>
      </c>
      <c r="I13" s="30">
        <v>2000</v>
      </c>
      <c r="J13" s="30">
        <v>2000</v>
      </c>
      <c r="K13" s="30">
        <v>2000</v>
      </c>
      <c r="L13" s="30">
        <v>2000</v>
      </c>
      <c r="M13" s="30">
        <v>2000</v>
      </c>
      <c r="N13" s="30">
        <v>2000</v>
      </c>
      <c r="O13" s="31">
        <f t="shared" ref="O13:O35" si="9">SUM(C13:N13)</f>
        <v>24000</v>
      </c>
      <c r="P13" s="30">
        <v>2000</v>
      </c>
      <c r="Q13" s="30">
        <v>2000</v>
      </c>
      <c r="R13" s="30">
        <v>2000</v>
      </c>
      <c r="S13" s="30">
        <v>2000</v>
      </c>
      <c r="T13" s="30">
        <v>2000</v>
      </c>
      <c r="U13" s="30">
        <v>2000</v>
      </c>
      <c r="V13" s="30">
        <v>2000</v>
      </c>
      <c r="W13" s="30">
        <v>2000</v>
      </c>
      <c r="X13" s="30">
        <v>2000</v>
      </c>
      <c r="Y13" s="30">
        <v>2000</v>
      </c>
      <c r="Z13" s="30">
        <v>2000</v>
      </c>
      <c r="AA13" s="30">
        <v>2000</v>
      </c>
      <c r="AB13" s="31">
        <f t="shared" ref="AB13:AB35" si="10">SUM(P13:AA13)</f>
        <v>24000</v>
      </c>
      <c r="AC13" s="30">
        <v>2000</v>
      </c>
      <c r="AD13" s="30">
        <v>2000</v>
      </c>
      <c r="AE13" s="30">
        <v>2000</v>
      </c>
      <c r="AF13" s="30">
        <v>2000</v>
      </c>
      <c r="AG13" s="30">
        <v>2000</v>
      </c>
      <c r="AH13" s="30">
        <v>2000</v>
      </c>
      <c r="AI13" s="30">
        <v>2000</v>
      </c>
      <c r="AJ13" s="30">
        <v>2000</v>
      </c>
      <c r="AK13" s="30">
        <v>2000</v>
      </c>
      <c r="AL13" s="30">
        <v>2000</v>
      </c>
      <c r="AM13" s="30">
        <v>2000</v>
      </c>
      <c r="AN13" s="30">
        <v>2000</v>
      </c>
      <c r="AO13" s="31">
        <f t="shared" ref="AO13:AO35" si="11">SUM(AC13:AN13)</f>
        <v>24000</v>
      </c>
    </row>
    <row r="14" spans="1:41" s="8" customFormat="1" ht="15" customHeight="1" x14ac:dyDescent="0.35">
      <c r="A14" s="25"/>
      <c r="B14" s="29" t="s">
        <v>18</v>
      </c>
      <c r="C14" s="30">
        <v>5000</v>
      </c>
      <c r="D14" s="30">
        <v>5000</v>
      </c>
      <c r="E14" s="30">
        <v>10000</v>
      </c>
      <c r="F14" s="30">
        <v>5000</v>
      </c>
      <c r="G14" s="30">
        <v>5000</v>
      </c>
      <c r="H14" s="30">
        <v>25000</v>
      </c>
      <c r="I14" s="30">
        <v>5000</v>
      </c>
      <c r="J14" s="30">
        <v>5000</v>
      </c>
      <c r="K14" s="30">
        <v>43000</v>
      </c>
      <c r="L14" s="30">
        <v>13000</v>
      </c>
      <c r="M14" s="30">
        <v>5000</v>
      </c>
      <c r="N14" s="30">
        <v>5000</v>
      </c>
      <c r="O14" s="31">
        <f t="shared" si="9"/>
        <v>131000</v>
      </c>
      <c r="P14" s="30">
        <v>5000</v>
      </c>
      <c r="Q14" s="30">
        <v>22000</v>
      </c>
      <c r="R14" s="30">
        <v>5000</v>
      </c>
      <c r="S14" s="30">
        <v>5000</v>
      </c>
      <c r="T14" s="30">
        <v>5000</v>
      </c>
      <c r="U14" s="30">
        <v>39000</v>
      </c>
      <c r="V14" s="30">
        <v>5000</v>
      </c>
      <c r="W14" s="30">
        <v>5000</v>
      </c>
      <c r="X14" s="30">
        <v>5000</v>
      </c>
      <c r="Y14" s="30">
        <v>47000</v>
      </c>
      <c r="Z14" s="30">
        <v>5000</v>
      </c>
      <c r="AA14" s="30">
        <v>5000</v>
      </c>
      <c r="AB14" s="31">
        <f t="shared" si="10"/>
        <v>153000</v>
      </c>
      <c r="AC14" s="30">
        <v>5000</v>
      </c>
      <c r="AD14" s="30">
        <v>54000</v>
      </c>
      <c r="AE14" s="30">
        <v>5000</v>
      </c>
      <c r="AF14" s="30">
        <v>5000</v>
      </c>
      <c r="AG14" s="30">
        <v>65000</v>
      </c>
      <c r="AH14" s="30">
        <v>8000</v>
      </c>
      <c r="AI14" s="30">
        <v>8000</v>
      </c>
      <c r="AJ14" s="30">
        <v>8000</v>
      </c>
      <c r="AK14" s="30">
        <v>32000</v>
      </c>
      <c r="AL14" s="30">
        <v>18000</v>
      </c>
      <c r="AM14" s="30">
        <v>18000</v>
      </c>
      <c r="AN14" s="30">
        <v>18000</v>
      </c>
      <c r="AO14" s="31">
        <f t="shared" si="11"/>
        <v>244000</v>
      </c>
    </row>
    <row r="15" spans="1:41" s="8" customFormat="1" ht="15" customHeight="1" x14ac:dyDescent="0.35">
      <c r="A15" s="25"/>
      <c r="B15" s="29" t="s">
        <v>6</v>
      </c>
      <c r="C15" s="30">
        <v>250</v>
      </c>
      <c r="D15" s="30">
        <v>250</v>
      </c>
      <c r="E15" s="30">
        <v>250</v>
      </c>
      <c r="F15" s="30">
        <v>250</v>
      </c>
      <c r="G15" s="30">
        <v>250</v>
      </c>
      <c r="H15" s="30">
        <v>250</v>
      </c>
      <c r="I15" s="30">
        <v>250</v>
      </c>
      <c r="J15" s="30">
        <v>250</v>
      </c>
      <c r="K15" s="30">
        <v>250</v>
      </c>
      <c r="L15" s="30">
        <v>250</v>
      </c>
      <c r="M15" s="30">
        <v>250</v>
      </c>
      <c r="N15" s="30">
        <v>250</v>
      </c>
      <c r="O15" s="31">
        <f t="shared" si="9"/>
        <v>3000</v>
      </c>
      <c r="P15" s="30">
        <v>500</v>
      </c>
      <c r="Q15" s="30">
        <v>500</v>
      </c>
      <c r="R15" s="30">
        <v>500</v>
      </c>
      <c r="S15" s="30">
        <v>500</v>
      </c>
      <c r="T15" s="30">
        <v>500</v>
      </c>
      <c r="U15" s="30">
        <v>500</v>
      </c>
      <c r="V15" s="30">
        <v>500</v>
      </c>
      <c r="W15" s="30">
        <v>500</v>
      </c>
      <c r="X15" s="30">
        <v>500</v>
      </c>
      <c r="Y15" s="30">
        <v>500</v>
      </c>
      <c r="Z15" s="30">
        <v>500</v>
      </c>
      <c r="AA15" s="30">
        <v>500</v>
      </c>
      <c r="AB15" s="31">
        <f t="shared" si="10"/>
        <v>6000</v>
      </c>
      <c r="AC15" s="30">
        <v>730</v>
      </c>
      <c r="AD15" s="30">
        <v>730</v>
      </c>
      <c r="AE15" s="30">
        <v>730</v>
      </c>
      <c r="AF15" s="30">
        <v>730</v>
      </c>
      <c r="AG15" s="30">
        <v>730</v>
      </c>
      <c r="AH15" s="30">
        <v>730</v>
      </c>
      <c r="AI15" s="30">
        <v>730</v>
      </c>
      <c r="AJ15" s="30">
        <v>730</v>
      </c>
      <c r="AK15" s="30">
        <v>730</v>
      </c>
      <c r="AL15" s="30">
        <v>730</v>
      </c>
      <c r="AM15" s="30">
        <v>730</v>
      </c>
      <c r="AN15" s="30">
        <v>730</v>
      </c>
      <c r="AO15" s="31">
        <f t="shared" si="11"/>
        <v>8760</v>
      </c>
    </row>
    <row r="16" spans="1:41" s="8" customFormat="1" ht="15" customHeight="1" x14ac:dyDescent="0.35">
      <c r="A16" s="25"/>
      <c r="B16" s="29" t="s">
        <v>19</v>
      </c>
      <c r="C16" s="30">
        <v>500</v>
      </c>
      <c r="D16" s="30">
        <v>500</v>
      </c>
      <c r="E16" s="30">
        <v>800</v>
      </c>
      <c r="F16" s="30">
        <v>800</v>
      </c>
      <c r="G16" s="30">
        <v>800</v>
      </c>
      <c r="H16" s="30">
        <v>860</v>
      </c>
      <c r="I16" s="30">
        <v>860</v>
      </c>
      <c r="J16" s="30">
        <v>860</v>
      </c>
      <c r="K16" s="30">
        <v>860</v>
      </c>
      <c r="L16" s="30">
        <v>860</v>
      </c>
      <c r="M16" s="30">
        <v>860</v>
      </c>
      <c r="N16" s="30">
        <v>860</v>
      </c>
      <c r="O16" s="31">
        <f t="shared" si="9"/>
        <v>9420</v>
      </c>
      <c r="P16" s="30">
        <v>920</v>
      </c>
      <c r="Q16" s="30">
        <v>920</v>
      </c>
      <c r="R16" s="30">
        <v>920</v>
      </c>
      <c r="S16" s="30">
        <v>920</v>
      </c>
      <c r="T16" s="30">
        <v>920</v>
      </c>
      <c r="U16" s="30">
        <v>920</v>
      </c>
      <c r="V16" s="30">
        <v>920</v>
      </c>
      <c r="W16" s="30">
        <v>920</v>
      </c>
      <c r="X16" s="30">
        <v>945</v>
      </c>
      <c r="Y16" s="30">
        <v>945</v>
      </c>
      <c r="Z16" s="30">
        <v>945</v>
      </c>
      <c r="AA16" s="30">
        <v>945</v>
      </c>
      <c r="AB16" s="31">
        <f t="shared" si="10"/>
        <v>11140</v>
      </c>
      <c r="AC16" s="30">
        <v>1034</v>
      </c>
      <c r="AD16" s="30">
        <v>1034</v>
      </c>
      <c r="AE16" s="30">
        <v>1034</v>
      </c>
      <c r="AF16" s="30">
        <v>1034</v>
      </c>
      <c r="AG16" s="30">
        <v>1034</v>
      </c>
      <c r="AH16" s="30">
        <v>1034</v>
      </c>
      <c r="AI16" s="30">
        <v>2080</v>
      </c>
      <c r="AJ16" s="30">
        <v>2080</v>
      </c>
      <c r="AK16" s="30">
        <v>2080</v>
      </c>
      <c r="AL16" s="30">
        <v>2080</v>
      </c>
      <c r="AM16" s="30">
        <v>2080</v>
      </c>
      <c r="AN16" s="30">
        <v>2080</v>
      </c>
      <c r="AO16" s="31">
        <f t="shared" si="11"/>
        <v>18684</v>
      </c>
    </row>
    <row r="17" spans="1:41" s="8" customFormat="1" ht="15" customHeight="1" x14ac:dyDescent="0.35">
      <c r="A17" s="25"/>
      <c r="B17" s="29" t="s">
        <v>7</v>
      </c>
      <c r="C17" s="30">
        <v>0</v>
      </c>
      <c r="D17" s="30">
        <v>0</v>
      </c>
      <c r="E17" s="30">
        <v>0</v>
      </c>
      <c r="F17" s="30">
        <v>3800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4200</v>
      </c>
      <c r="O17" s="31">
        <f t="shared" si="9"/>
        <v>8000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1285</v>
      </c>
      <c r="V17" s="30">
        <v>0</v>
      </c>
      <c r="W17" s="30">
        <v>0</v>
      </c>
      <c r="X17" s="30">
        <v>0</v>
      </c>
      <c r="Y17" s="30">
        <v>890</v>
      </c>
      <c r="Z17" s="30">
        <v>0</v>
      </c>
      <c r="AA17" s="30">
        <v>0</v>
      </c>
      <c r="AB17" s="31">
        <f t="shared" si="10"/>
        <v>2175</v>
      </c>
      <c r="AC17" s="30">
        <v>0</v>
      </c>
      <c r="AD17" s="30">
        <v>0</v>
      </c>
      <c r="AE17" s="30">
        <v>854</v>
      </c>
      <c r="AF17" s="30">
        <v>0</v>
      </c>
      <c r="AG17" s="30">
        <v>0</v>
      </c>
      <c r="AH17" s="30">
        <v>0</v>
      </c>
      <c r="AI17" s="30">
        <v>0</v>
      </c>
      <c r="AJ17" s="30">
        <v>1070</v>
      </c>
      <c r="AK17" s="30">
        <v>0</v>
      </c>
      <c r="AL17" s="30">
        <v>0</v>
      </c>
      <c r="AM17" s="30">
        <v>0</v>
      </c>
      <c r="AN17" s="30">
        <v>0</v>
      </c>
      <c r="AO17" s="31">
        <f t="shared" si="11"/>
        <v>1924</v>
      </c>
    </row>
    <row r="18" spans="1:41" s="8" customFormat="1" ht="15" customHeight="1" x14ac:dyDescent="0.35">
      <c r="A18" s="25"/>
      <c r="B18" s="29" t="s">
        <v>25</v>
      </c>
      <c r="C18" s="30">
        <v>1250</v>
      </c>
      <c r="D18" s="30">
        <v>0</v>
      </c>
      <c r="E18" s="30">
        <v>0</v>
      </c>
      <c r="F18" s="30">
        <v>0</v>
      </c>
      <c r="G18" s="30">
        <v>2300</v>
      </c>
      <c r="H18" s="30">
        <v>780</v>
      </c>
      <c r="I18" s="30">
        <v>200</v>
      </c>
      <c r="J18" s="30">
        <v>0</v>
      </c>
      <c r="K18" s="30">
        <v>0</v>
      </c>
      <c r="L18" s="30">
        <v>759</v>
      </c>
      <c r="M18" s="30">
        <v>0</v>
      </c>
      <c r="N18" s="30">
        <v>0</v>
      </c>
      <c r="O18" s="31">
        <f t="shared" si="9"/>
        <v>5289</v>
      </c>
      <c r="P18" s="30">
        <v>543</v>
      </c>
      <c r="Q18" s="30">
        <v>0</v>
      </c>
      <c r="R18" s="30">
        <v>0</v>
      </c>
      <c r="S18" s="30">
        <v>875</v>
      </c>
      <c r="T18" s="30">
        <v>567</v>
      </c>
      <c r="U18" s="30">
        <v>357</v>
      </c>
      <c r="V18" s="30">
        <v>0</v>
      </c>
      <c r="W18" s="30">
        <v>5778</v>
      </c>
      <c r="X18" s="30">
        <v>0</v>
      </c>
      <c r="Y18" s="30">
        <v>0</v>
      </c>
      <c r="Z18" s="30">
        <v>0</v>
      </c>
      <c r="AA18" s="30">
        <v>644</v>
      </c>
      <c r="AB18" s="31">
        <f t="shared" si="10"/>
        <v>8764</v>
      </c>
      <c r="AC18" s="30">
        <v>1250</v>
      </c>
      <c r="AD18" s="30">
        <v>655</v>
      </c>
      <c r="AE18" s="30">
        <v>3556</v>
      </c>
      <c r="AF18" s="30">
        <v>0</v>
      </c>
      <c r="AG18" s="30">
        <v>0</v>
      </c>
      <c r="AH18" s="30">
        <v>764</v>
      </c>
      <c r="AI18" s="30">
        <v>755</v>
      </c>
      <c r="AJ18" s="30">
        <v>976</v>
      </c>
      <c r="AK18" s="30">
        <v>0</v>
      </c>
      <c r="AL18" s="30">
        <v>0</v>
      </c>
      <c r="AM18" s="30">
        <v>455</v>
      </c>
      <c r="AN18" s="30">
        <v>987</v>
      </c>
      <c r="AO18" s="31">
        <f t="shared" si="11"/>
        <v>9398</v>
      </c>
    </row>
    <row r="19" spans="1:41" s="8" customFormat="1" ht="15" customHeight="1" x14ac:dyDescent="0.35">
      <c r="A19" s="25"/>
      <c r="B19" s="29" t="s">
        <v>9</v>
      </c>
      <c r="C19" s="30">
        <v>1000</v>
      </c>
      <c r="D19" s="30">
        <v>1000</v>
      </c>
      <c r="E19" s="30">
        <v>1000</v>
      </c>
      <c r="F19" s="30">
        <v>1000</v>
      </c>
      <c r="G19" s="30">
        <v>1000</v>
      </c>
      <c r="H19" s="30">
        <v>1200</v>
      </c>
      <c r="I19" s="30">
        <v>1200</v>
      </c>
      <c r="J19" s="30">
        <v>1200</v>
      </c>
      <c r="K19" s="30">
        <v>1200</v>
      </c>
      <c r="L19" s="30">
        <v>1200</v>
      </c>
      <c r="M19" s="30">
        <v>1200</v>
      </c>
      <c r="N19" s="30">
        <v>1200</v>
      </c>
      <c r="O19" s="31">
        <f t="shared" si="9"/>
        <v>13400</v>
      </c>
      <c r="P19" s="30">
        <v>2700</v>
      </c>
      <c r="Q19" s="30">
        <v>2700</v>
      </c>
      <c r="R19" s="30">
        <v>2700</v>
      </c>
      <c r="S19" s="30">
        <v>2700</v>
      </c>
      <c r="T19" s="30">
        <v>2700</v>
      </c>
      <c r="U19" s="30">
        <v>2700</v>
      </c>
      <c r="V19" s="30">
        <v>2700</v>
      </c>
      <c r="W19" s="30">
        <v>2700</v>
      </c>
      <c r="X19" s="30">
        <v>3200</v>
      </c>
      <c r="Y19" s="30">
        <v>3200</v>
      </c>
      <c r="Z19" s="30">
        <v>3200</v>
      </c>
      <c r="AA19" s="30">
        <v>3200</v>
      </c>
      <c r="AB19" s="31">
        <f t="shared" si="10"/>
        <v>34400</v>
      </c>
      <c r="AC19" s="30">
        <v>3800</v>
      </c>
      <c r="AD19" s="30">
        <v>3800</v>
      </c>
      <c r="AE19" s="30">
        <v>3800</v>
      </c>
      <c r="AF19" s="30">
        <v>3800</v>
      </c>
      <c r="AG19" s="30">
        <v>3800</v>
      </c>
      <c r="AH19" s="30">
        <v>3800</v>
      </c>
      <c r="AI19" s="30">
        <v>3800</v>
      </c>
      <c r="AJ19" s="30">
        <v>4100</v>
      </c>
      <c r="AK19" s="30">
        <v>4100</v>
      </c>
      <c r="AL19" s="30">
        <v>4100</v>
      </c>
      <c r="AM19" s="30">
        <v>4100</v>
      </c>
      <c r="AN19" s="30">
        <v>4100</v>
      </c>
      <c r="AO19" s="31">
        <f t="shared" si="11"/>
        <v>47100</v>
      </c>
    </row>
    <row r="20" spans="1:41" s="8" customFormat="1" ht="15" customHeight="1" x14ac:dyDescent="0.35">
      <c r="A20" s="25"/>
      <c r="B20" s="29" t="s">
        <v>10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12000</v>
      </c>
      <c r="K20" s="30">
        <v>0</v>
      </c>
      <c r="L20" s="30">
        <v>0</v>
      </c>
      <c r="M20" s="30">
        <v>0</v>
      </c>
      <c r="N20" s="30">
        <v>0</v>
      </c>
      <c r="O20" s="31">
        <f t="shared" si="9"/>
        <v>12000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22000</v>
      </c>
      <c r="X20" s="30">
        <v>0</v>
      </c>
      <c r="Y20" s="30">
        <v>0</v>
      </c>
      <c r="Z20" s="30">
        <v>0</v>
      </c>
      <c r="AA20" s="30">
        <v>0</v>
      </c>
      <c r="AB20" s="31">
        <f t="shared" si="10"/>
        <v>22000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29000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1">
        <f t="shared" si="11"/>
        <v>29000</v>
      </c>
    </row>
    <row r="21" spans="1:41" s="8" customFormat="1" ht="15" customHeight="1" x14ac:dyDescent="0.35">
      <c r="A21" s="25"/>
      <c r="B21" s="29" t="s">
        <v>23</v>
      </c>
      <c r="C21" s="30">
        <v>0</v>
      </c>
      <c r="D21" s="30">
        <v>0</v>
      </c>
      <c r="E21" s="30">
        <v>0</v>
      </c>
      <c r="F21" s="30">
        <v>0</v>
      </c>
      <c r="G21" s="30">
        <v>18000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1">
        <f t="shared" si="9"/>
        <v>18000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33000</v>
      </c>
      <c r="AA21" s="30">
        <v>0</v>
      </c>
      <c r="AB21" s="31">
        <f t="shared" si="10"/>
        <v>33000</v>
      </c>
      <c r="AC21" s="30">
        <v>0</v>
      </c>
      <c r="AD21" s="30">
        <v>0</v>
      </c>
      <c r="AE21" s="30">
        <v>0</v>
      </c>
      <c r="AF21" s="30">
        <v>0</v>
      </c>
      <c r="AG21" s="30">
        <v>29000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1">
        <f t="shared" si="11"/>
        <v>29000</v>
      </c>
    </row>
    <row r="22" spans="1:41" s="8" customFormat="1" ht="15" customHeight="1" x14ac:dyDescent="0.35">
      <c r="A22" s="25"/>
      <c r="B22" s="29" t="s">
        <v>11</v>
      </c>
      <c r="C22" s="30">
        <v>2000</v>
      </c>
      <c r="D22" s="30">
        <v>2000</v>
      </c>
      <c r="E22" s="30">
        <v>2000</v>
      </c>
      <c r="F22" s="30">
        <v>2000</v>
      </c>
      <c r="G22" s="30">
        <v>2000</v>
      </c>
      <c r="H22" s="30">
        <v>2000</v>
      </c>
      <c r="I22" s="30">
        <v>2300</v>
      </c>
      <c r="J22" s="30">
        <v>2300</v>
      </c>
      <c r="K22" s="30">
        <v>2300</v>
      </c>
      <c r="L22" s="30">
        <v>2300</v>
      </c>
      <c r="M22" s="30">
        <v>2300</v>
      </c>
      <c r="N22" s="30">
        <v>2300</v>
      </c>
      <c r="O22" s="31">
        <f t="shared" si="9"/>
        <v>25800</v>
      </c>
      <c r="P22" s="30">
        <v>2300</v>
      </c>
      <c r="Q22" s="30">
        <v>2300</v>
      </c>
      <c r="R22" s="30">
        <v>2300</v>
      </c>
      <c r="S22" s="30">
        <v>2300</v>
      </c>
      <c r="T22" s="30">
        <v>2300</v>
      </c>
      <c r="U22" s="30">
        <v>2300</v>
      </c>
      <c r="V22" s="30">
        <v>3200</v>
      </c>
      <c r="W22" s="30">
        <v>3200</v>
      </c>
      <c r="X22" s="30">
        <v>3200</v>
      </c>
      <c r="Y22" s="30">
        <v>3200</v>
      </c>
      <c r="Z22" s="30">
        <v>3200</v>
      </c>
      <c r="AA22" s="30">
        <v>3200</v>
      </c>
      <c r="AB22" s="31">
        <f t="shared" si="10"/>
        <v>33000</v>
      </c>
      <c r="AC22" s="30">
        <v>5100</v>
      </c>
      <c r="AD22" s="30">
        <v>5100</v>
      </c>
      <c r="AE22" s="30">
        <v>5100</v>
      </c>
      <c r="AF22" s="30">
        <v>5100</v>
      </c>
      <c r="AG22" s="30">
        <v>5100</v>
      </c>
      <c r="AH22" s="30">
        <v>5100</v>
      </c>
      <c r="AI22" s="30">
        <v>5100</v>
      </c>
      <c r="AJ22" s="30">
        <v>6200</v>
      </c>
      <c r="AK22" s="30">
        <v>6200</v>
      </c>
      <c r="AL22" s="30">
        <v>6200</v>
      </c>
      <c r="AM22" s="30">
        <v>6200</v>
      </c>
      <c r="AN22" s="30">
        <v>6200</v>
      </c>
      <c r="AO22" s="31">
        <f t="shared" si="11"/>
        <v>66700</v>
      </c>
    </row>
    <row r="23" spans="1:41" s="8" customFormat="1" ht="15" customHeight="1" x14ac:dyDescent="0.35">
      <c r="A23" s="25"/>
      <c r="B23" s="29" t="s">
        <v>26</v>
      </c>
      <c r="C23" s="30">
        <v>0</v>
      </c>
      <c r="D23" s="30">
        <v>0</v>
      </c>
      <c r="E23" s="30">
        <v>0</v>
      </c>
      <c r="F23" s="30">
        <v>74000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1">
        <f t="shared" si="9"/>
        <v>74000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12340</v>
      </c>
      <c r="Z23" s="30">
        <v>0</v>
      </c>
      <c r="AA23" s="30">
        <v>0</v>
      </c>
      <c r="AB23" s="31">
        <f t="shared" si="10"/>
        <v>12340</v>
      </c>
      <c r="AC23" s="30">
        <v>0</v>
      </c>
      <c r="AD23" s="30">
        <v>0</v>
      </c>
      <c r="AE23" s="30">
        <v>0</v>
      </c>
      <c r="AF23" s="30">
        <v>23100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1">
        <f t="shared" si="11"/>
        <v>23100</v>
      </c>
    </row>
    <row r="24" spans="1:41" s="8" customFormat="1" ht="15" customHeight="1" x14ac:dyDescent="0.35">
      <c r="A24" s="25"/>
      <c r="B24" s="29" t="s">
        <v>22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1800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1">
        <f t="shared" si="9"/>
        <v>1800</v>
      </c>
      <c r="P24" s="30">
        <v>0</v>
      </c>
      <c r="Q24" s="30">
        <v>0</v>
      </c>
      <c r="R24" s="30">
        <v>0</v>
      </c>
      <c r="S24" s="30">
        <v>12300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f t="shared" si="10"/>
        <v>12300</v>
      </c>
      <c r="AC24" s="30">
        <v>0</v>
      </c>
      <c r="AD24" s="30">
        <v>0</v>
      </c>
      <c r="AE24" s="30">
        <v>0</v>
      </c>
      <c r="AF24" s="30">
        <v>0</v>
      </c>
      <c r="AG24" s="30">
        <v>8120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1">
        <f t="shared" si="11"/>
        <v>8120</v>
      </c>
    </row>
    <row r="25" spans="1:41" s="8" customFormat="1" ht="15" customHeight="1" x14ac:dyDescent="0.35">
      <c r="A25" s="25"/>
      <c r="B25" s="29" t="s">
        <v>21</v>
      </c>
      <c r="C25" s="30">
        <v>100</v>
      </c>
      <c r="D25" s="30">
        <v>100</v>
      </c>
      <c r="E25" s="30">
        <v>100</v>
      </c>
      <c r="F25" s="30">
        <v>100</v>
      </c>
      <c r="G25" s="30">
        <v>100</v>
      </c>
      <c r="H25" s="30">
        <v>100</v>
      </c>
      <c r="I25" s="30">
        <v>100</v>
      </c>
      <c r="J25" s="30">
        <v>100</v>
      </c>
      <c r="K25" s="30">
        <v>100</v>
      </c>
      <c r="L25" s="30">
        <v>100</v>
      </c>
      <c r="M25" s="30">
        <v>100</v>
      </c>
      <c r="N25" s="30">
        <v>100</v>
      </c>
      <c r="O25" s="31">
        <f t="shared" si="9"/>
        <v>1200</v>
      </c>
      <c r="P25" s="30">
        <v>140</v>
      </c>
      <c r="Q25" s="30">
        <v>140</v>
      </c>
      <c r="R25" s="30">
        <v>140</v>
      </c>
      <c r="S25" s="30">
        <v>140</v>
      </c>
      <c r="T25" s="30">
        <v>140</v>
      </c>
      <c r="U25" s="30">
        <v>140</v>
      </c>
      <c r="V25" s="30">
        <v>140</v>
      </c>
      <c r="W25" s="30">
        <v>140</v>
      </c>
      <c r="X25" s="30">
        <v>140</v>
      </c>
      <c r="Y25" s="30">
        <v>140</v>
      </c>
      <c r="Z25" s="30">
        <v>140</v>
      </c>
      <c r="AA25" s="30">
        <v>140</v>
      </c>
      <c r="AB25" s="31">
        <f t="shared" si="10"/>
        <v>1680</v>
      </c>
      <c r="AC25" s="30">
        <v>160</v>
      </c>
      <c r="AD25" s="30">
        <v>160</v>
      </c>
      <c r="AE25" s="30">
        <v>160</v>
      </c>
      <c r="AF25" s="30">
        <v>160</v>
      </c>
      <c r="AG25" s="30">
        <v>160</v>
      </c>
      <c r="AH25" s="30">
        <v>160</v>
      </c>
      <c r="AI25" s="30">
        <v>160</v>
      </c>
      <c r="AJ25" s="30">
        <v>160</v>
      </c>
      <c r="AK25" s="30">
        <v>160</v>
      </c>
      <c r="AL25" s="30">
        <v>160</v>
      </c>
      <c r="AM25" s="30">
        <v>160</v>
      </c>
      <c r="AN25" s="30">
        <v>160</v>
      </c>
      <c r="AO25" s="31">
        <f t="shared" si="11"/>
        <v>1920</v>
      </c>
    </row>
    <row r="26" spans="1:41" s="8" customFormat="1" ht="15" customHeight="1" x14ac:dyDescent="0.35">
      <c r="A26" s="25"/>
      <c r="B26" s="29" t="s">
        <v>12</v>
      </c>
      <c r="C26" s="30">
        <v>300</v>
      </c>
      <c r="D26" s="30">
        <v>300</v>
      </c>
      <c r="E26" s="30">
        <v>300</v>
      </c>
      <c r="F26" s="30">
        <v>300</v>
      </c>
      <c r="G26" s="30">
        <v>300</v>
      </c>
      <c r="H26" s="30">
        <v>300</v>
      </c>
      <c r="I26" s="30">
        <v>300</v>
      </c>
      <c r="J26" s="30">
        <v>300</v>
      </c>
      <c r="K26" s="30">
        <v>300</v>
      </c>
      <c r="L26" s="30">
        <v>300</v>
      </c>
      <c r="M26" s="30">
        <v>300</v>
      </c>
      <c r="N26" s="30">
        <v>300</v>
      </c>
      <c r="O26" s="31">
        <f t="shared" si="9"/>
        <v>3600</v>
      </c>
      <c r="P26" s="30">
        <v>420</v>
      </c>
      <c r="Q26" s="30">
        <v>420</v>
      </c>
      <c r="R26" s="30">
        <v>420</v>
      </c>
      <c r="S26" s="30">
        <v>420</v>
      </c>
      <c r="T26" s="30">
        <v>420</v>
      </c>
      <c r="U26" s="30">
        <v>420</v>
      </c>
      <c r="V26" s="30">
        <v>420</v>
      </c>
      <c r="W26" s="30">
        <v>420</v>
      </c>
      <c r="X26" s="30">
        <v>420</v>
      </c>
      <c r="Y26" s="30">
        <v>420</v>
      </c>
      <c r="Z26" s="30">
        <v>420</v>
      </c>
      <c r="AA26" s="30">
        <v>420</v>
      </c>
      <c r="AB26" s="31">
        <f t="shared" si="10"/>
        <v>5040</v>
      </c>
      <c r="AC26" s="30">
        <v>610</v>
      </c>
      <c r="AD26" s="30">
        <v>610</v>
      </c>
      <c r="AE26" s="30">
        <v>610</v>
      </c>
      <c r="AF26" s="30">
        <v>610</v>
      </c>
      <c r="AG26" s="30">
        <v>610</v>
      </c>
      <c r="AH26" s="30">
        <v>610</v>
      </c>
      <c r="AI26" s="30">
        <v>610</v>
      </c>
      <c r="AJ26" s="30">
        <v>610</v>
      </c>
      <c r="AK26" s="30">
        <v>610</v>
      </c>
      <c r="AL26" s="30">
        <v>610</v>
      </c>
      <c r="AM26" s="30">
        <v>610</v>
      </c>
      <c r="AN26" s="30">
        <v>610</v>
      </c>
      <c r="AO26" s="31">
        <f t="shared" si="11"/>
        <v>7320</v>
      </c>
    </row>
    <row r="27" spans="1:41" s="8" customFormat="1" ht="15" customHeight="1" x14ac:dyDescent="0.35">
      <c r="A27" s="25"/>
      <c r="B27" s="29" t="s">
        <v>20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32000</v>
      </c>
      <c r="K27" s="30">
        <v>0</v>
      </c>
      <c r="L27" s="30">
        <v>0</v>
      </c>
      <c r="M27" s="30">
        <v>0</v>
      </c>
      <c r="N27" s="30">
        <v>0</v>
      </c>
      <c r="O27" s="31">
        <f t="shared" si="9"/>
        <v>32000</v>
      </c>
      <c r="P27" s="30">
        <v>0</v>
      </c>
      <c r="Q27" s="30">
        <v>7510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f t="shared" si="10"/>
        <v>7510</v>
      </c>
      <c r="AC27" s="30">
        <v>0</v>
      </c>
      <c r="AD27" s="30">
        <v>2300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3900</v>
      </c>
      <c r="AL27" s="30">
        <v>0</v>
      </c>
      <c r="AM27" s="30">
        <v>0</v>
      </c>
      <c r="AN27" s="30">
        <v>0</v>
      </c>
      <c r="AO27" s="31">
        <f t="shared" si="11"/>
        <v>6200</v>
      </c>
    </row>
    <row r="28" spans="1:41" s="8" customFormat="1" ht="15" customHeight="1" x14ac:dyDescent="0.35">
      <c r="A28" s="25"/>
      <c r="B28" s="29" t="s">
        <v>13</v>
      </c>
      <c r="C28" s="30">
        <v>10000</v>
      </c>
      <c r="D28" s="30">
        <v>10000</v>
      </c>
      <c r="E28" s="30">
        <v>10000</v>
      </c>
      <c r="F28" s="30">
        <v>10000</v>
      </c>
      <c r="G28" s="30">
        <v>10000</v>
      </c>
      <c r="H28" s="30">
        <v>10000</v>
      </c>
      <c r="I28" s="30">
        <v>10000</v>
      </c>
      <c r="J28" s="30">
        <v>10000</v>
      </c>
      <c r="K28" s="30">
        <v>10000</v>
      </c>
      <c r="L28" s="30">
        <v>10000</v>
      </c>
      <c r="M28" s="30">
        <v>10000</v>
      </c>
      <c r="N28" s="30">
        <v>10000</v>
      </c>
      <c r="O28" s="31">
        <f t="shared" si="9"/>
        <v>120000</v>
      </c>
      <c r="P28" s="30">
        <v>12400</v>
      </c>
      <c r="Q28" s="30">
        <v>12400</v>
      </c>
      <c r="R28" s="30">
        <v>12400</v>
      </c>
      <c r="S28" s="30">
        <v>12400</v>
      </c>
      <c r="T28" s="30">
        <v>12400</v>
      </c>
      <c r="U28" s="30">
        <v>12400</v>
      </c>
      <c r="V28" s="30">
        <v>12400</v>
      </c>
      <c r="W28" s="30">
        <v>12400</v>
      </c>
      <c r="X28" s="30">
        <v>12400</v>
      </c>
      <c r="Y28" s="30">
        <v>12400</v>
      </c>
      <c r="Z28" s="30">
        <v>12400</v>
      </c>
      <c r="AA28" s="30">
        <v>12400</v>
      </c>
      <c r="AB28" s="31">
        <f t="shared" si="10"/>
        <v>148800</v>
      </c>
      <c r="AC28" s="30">
        <v>14800</v>
      </c>
      <c r="AD28" s="30">
        <v>14800</v>
      </c>
      <c r="AE28" s="30">
        <v>14800</v>
      </c>
      <c r="AF28" s="30">
        <v>14800</v>
      </c>
      <c r="AG28" s="30">
        <v>14800</v>
      </c>
      <c r="AH28" s="30">
        <v>14800</v>
      </c>
      <c r="AI28" s="30">
        <v>14800</v>
      </c>
      <c r="AJ28" s="30">
        <v>14800</v>
      </c>
      <c r="AK28" s="30">
        <v>14800</v>
      </c>
      <c r="AL28" s="30">
        <v>14800</v>
      </c>
      <c r="AM28" s="30">
        <v>14800</v>
      </c>
      <c r="AN28" s="30">
        <v>14800</v>
      </c>
      <c r="AO28" s="31">
        <f t="shared" si="11"/>
        <v>177600</v>
      </c>
    </row>
    <row r="29" spans="1:41" s="8" customFormat="1" ht="15" customHeight="1" x14ac:dyDescent="0.35">
      <c r="A29" s="25"/>
      <c r="B29" s="29" t="s">
        <v>24</v>
      </c>
      <c r="C29" s="30">
        <v>0</v>
      </c>
      <c r="D29" s="30">
        <v>0</v>
      </c>
      <c r="E29" s="30">
        <v>800</v>
      </c>
      <c r="F29" s="30">
        <v>0</v>
      </c>
      <c r="G29" s="30">
        <v>0</v>
      </c>
      <c r="H29" s="30">
        <v>780</v>
      </c>
      <c r="I29" s="30">
        <v>0</v>
      </c>
      <c r="J29" s="30">
        <v>0</v>
      </c>
      <c r="K29" s="30">
        <v>4300</v>
      </c>
      <c r="L29" s="30">
        <v>0</v>
      </c>
      <c r="M29" s="30">
        <v>0</v>
      </c>
      <c r="N29" s="30">
        <v>0</v>
      </c>
      <c r="O29" s="31">
        <f t="shared" si="9"/>
        <v>5880</v>
      </c>
      <c r="P29" s="30">
        <v>0</v>
      </c>
      <c r="Q29" s="30">
        <v>0</v>
      </c>
      <c r="R29" s="30">
        <v>0</v>
      </c>
      <c r="S29" s="30">
        <v>2100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2320</v>
      </c>
      <c r="Z29" s="30">
        <v>0</v>
      </c>
      <c r="AA29" s="30">
        <v>0</v>
      </c>
      <c r="AB29" s="31">
        <f t="shared" si="10"/>
        <v>4420</v>
      </c>
      <c r="AC29" s="30">
        <v>0</v>
      </c>
      <c r="AD29" s="30">
        <v>1900</v>
      </c>
      <c r="AE29" s="30">
        <v>0</v>
      </c>
      <c r="AF29" s="30">
        <v>0</v>
      </c>
      <c r="AG29" s="30">
        <v>0</v>
      </c>
      <c r="AH29" s="30">
        <v>7200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1">
        <f t="shared" si="11"/>
        <v>9100</v>
      </c>
    </row>
    <row r="30" spans="1:41" s="8" customFormat="1" ht="15" customHeight="1" x14ac:dyDescent="0.35">
      <c r="A30" s="25"/>
      <c r="B30" s="29" t="s">
        <v>14</v>
      </c>
      <c r="C30" s="30">
        <v>22850</v>
      </c>
      <c r="D30" s="30">
        <v>22850</v>
      </c>
      <c r="E30" s="30">
        <v>22850</v>
      </c>
      <c r="F30" s="30">
        <v>22850</v>
      </c>
      <c r="G30" s="30">
        <v>22850</v>
      </c>
      <c r="H30" s="30">
        <v>22850</v>
      </c>
      <c r="I30" s="30">
        <v>22850</v>
      </c>
      <c r="J30" s="30">
        <v>22850</v>
      </c>
      <c r="K30" s="30">
        <v>22850</v>
      </c>
      <c r="L30" s="30">
        <v>22850</v>
      </c>
      <c r="M30" s="30">
        <v>22850</v>
      </c>
      <c r="N30" s="30">
        <v>22850</v>
      </c>
      <c r="O30" s="31">
        <f t="shared" si="9"/>
        <v>274200</v>
      </c>
      <c r="P30" s="30">
        <v>35400</v>
      </c>
      <c r="Q30" s="30">
        <v>35400</v>
      </c>
      <c r="R30" s="30">
        <v>35400</v>
      </c>
      <c r="S30" s="30">
        <v>35400</v>
      </c>
      <c r="T30" s="30">
        <v>35400</v>
      </c>
      <c r="U30" s="30">
        <v>35400</v>
      </c>
      <c r="V30" s="30">
        <v>35400</v>
      </c>
      <c r="W30" s="30">
        <v>35400</v>
      </c>
      <c r="X30" s="30">
        <v>35400</v>
      </c>
      <c r="Y30" s="30">
        <v>35400</v>
      </c>
      <c r="Z30" s="30">
        <v>35400</v>
      </c>
      <c r="AA30" s="30">
        <v>35400</v>
      </c>
      <c r="AB30" s="31">
        <f t="shared" si="10"/>
        <v>424800</v>
      </c>
      <c r="AC30" s="30">
        <v>43900</v>
      </c>
      <c r="AD30" s="30">
        <v>43900</v>
      </c>
      <c r="AE30" s="30">
        <v>43900</v>
      </c>
      <c r="AF30" s="30">
        <v>43900</v>
      </c>
      <c r="AG30" s="30">
        <v>43900</v>
      </c>
      <c r="AH30" s="30">
        <v>43900</v>
      </c>
      <c r="AI30" s="30">
        <v>43900</v>
      </c>
      <c r="AJ30" s="30">
        <v>43900</v>
      </c>
      <c r="AK30" s="30">
        <v>43900</v>
      </c>
      <c r="AL30" s="30">
        <v>43900</v>
      </c>
      <c r="AM30" s="30">
        <v>43900</v>
      </c>
      <c r="AN30" s="30">
        <v>43900</v>
      </c>
      <c r="AO30" s="31">
        <f t="shared" si="11"/>
        <v>526800</v>
      </c>
    </row>
    <row r="31" spans="1:41" s="8" customFormat="1" ht="15" customHeight="1" x14ac:dyDescent="0.35">
      <c r="A31" s="25"/>
      <c r="B31" s="29" t="s">
        <v>15</v>
      </c>
      <c r="C31" s="30">
        <v>325</v>
      </c>
      <c r="D31" s="30">
        <v>325</v>
      </c>
      <c r="E31" s="30">
        <v>325</v>
      </c>
      <c r="F31" s="30">
        <v>325</v>
      </c>
      <c r="G31" s="30">
        <v>325</v>
      </c>
      <c r="H31" s="30">
        <v>325</v>
      </c>
      <c r="I31" s="30">
        <v>325</v>
      </c>
      <c r="J31" s="30">
        <v>325</v>
      </c>
      <c r="K31" s="30">
        <v>325</v>
      </c>
      <c r="L31" s="30">
        <v>325</v>
      </c>
      <c r="M31" s="30">
        <v>325</v>
      </c>
      <c r="N31" s="30">
        <v>325</v>
      </c>
      <c r="O31" s="31">
        <f t="shared" si="9"/>
        <v>3900</v>
      </c>
      <c r="P31" s="30">
        <v>378</v>
      </c>
      <c r="Q31" s="30">
        <v>378</v>
      </c>
      <c r="R31" s="30">
        <v>378</v>
      </c>
      <c r="S31" s="30">
        <v>378</v>
      </c>
      <c r="T31" s="30">
        <v>378</v>
      </c>
      <c r="U31" s="30">
        <v>378</v>
      </c>
      <c r="V31" s="30">
        <v>378</v>
      </c>
      <c r="W31" s="30">
        <v>378</v>
      </c>
      <c r="X31" s="30">
        <v>378</v>
      </c>
      <c r="Y31" s="30">
        <v>378</v>
      </c>
      <c r="Z31" s="30">
        <v>378</v>
      </c>
      <c r="AA31" s="30">
        <v>378</v>
      </c>
      <c r="AB31" s="31">
        <f t="shared" si="10"/>
        <v>4536</v>
      </c>
      <c r="AC31" s="30">
        <v>421</v>
      </c>
      <c r="AD31" s="30">
        <v>421</v>
      </c>
      <c r="AE31" s="30">
        <v>421</v>
      </c>
      <c r="AF31" s="30">
        <v>421</v>
      </c>
      <c r="AG31" s="30">
        <v>421</v>
      </c>
      <c r="AH31" s="30">
        <v>421</v>
      </c>
      <c r="AI31" s="30">
        <v>421</v>
      </c>
      <c r="AJ31" s="30">
        <v>421</v>
      </c>
      <c r="AK31" s="30">
        <v>421</v>
      </c>
      <c r="AL31" s="30">
        <v>421</v>
      </c>
      <c r="AM31" s="30">
        <v>421</v>
      </c>
      <c r="AN31" s="30">
        <v>421</v>
      </c>
      <c r="AO31" s="31">
        <f t="shared" si="11"/>
        <v>5052</v>
      </c>
    </row>
    <row r="32" spans="1:41" s="8" customFormat="1" ht="15" customHeight="1" x14ac:dyDescent="0.35">
      <c r="A32" s="25"/>
      <c r="B32" s="29" t="s">
        <v>16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3200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1">
        <f t="shared" si="9"/>
        <v>3200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3670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f t="shared" si="10"/>
        <v>3670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4020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1">
        <f t="shared" si="11"/>
        <v>4020</v>
      </c>
    </row>
    <row r="33" spans="1:41" s="8" customFormat="1" ht="15" customHeight="1" x14ac:dyDescent="0.35">
      <c r="A33" s="25"/>
      <c r="B33" s="29" t="s">
        <v>17</v>
      </c>
      <c r="C33" s="30">
        <v>2510</v>
      </c>
      <c r="D33" s="30">
        <v>2510</v>
      </c>
      <c r="E33" s="30">
        <v>2510</v>
      </c>
      <c r="F33" s="30">
        <v>2510</v>
      </c>
      <c r="G33" s="30">
        <v>2510</v>
      </c>
      <c r="H33" s="30">
        <v>2510</v>
      </c>
      <c r="I33" s="30">
        <v>2510</v>
      </c>
      <c r="J33" s="30">
        <v>2510</v>
      </c>
      <c r="K33" s="30">
        <v>2510</v>
      </c>
      <c r="L33" s="30">
        <v>2510</v>
      </c>
      <c r="M33" s="30">
        <v>2510</v>
      </c>
      <c r="N33" s="30">
        <v>2510</v>
      </c>
      <c r="O33" s="31">
        <f t="shared" si="9"/>
        <v>30120</v>
      </c>
      <c r="P33" s="30">
        <v>3420</v>
      </c>
      <c r="Q33" s="30">
        <v>3420</v>
      </c>
      <c r="R33" s="30">
        <v>3420</v>
      </c>
      <c r="S33" s="30">
        <v>3420</v>
      </c>
      <c r="T33" s="30">
        <v>3420</v>
      </c>
      <c r="U33" s="30">
        <v>3420</v>
      </c>
      <c r="V33" s="30">
        <v>3420</v>
      </c>
      <c r="W33" s="30">
        <v>3420</v>
      </c>
      <c r="X33" s="30">
        <v>3420</v>
      </c>
      <c r="Y33" s="30">
        <v>3420</v>
      </c>
      <c r="Z33" s="30">
        <v>3420</v>
      </c>
      <c r="AA33" s="30">
        <v>3420</v>
      </c>
      <c r="AB33" s="31">
        <f t="shared" si="10"/>
        <v>41040</v>
      </c>
      <c r="AC33" s="30">
        <v>3890</v>
      </c>
      <c r="AD33" s="30">
        <v>3890</v>
      </c>
      <c r="AE33" s="30">
        <v>3890</v>
      </c>
      <c r="AF33" s="30">
        <v>3890</v>
      </c>
      <c r="AG33" s="30">
        <v>3890</v>
      </c>
      <c r="AH33" s="30">
        <v>3890</v>
      </c>
      <c r="AI33" s="30">
        <v>3890</v>
      </c>
      <c r="AJ33" s="30">
        <v>3890</v>
      </c>
      <c r="AK33" s="30">
        <v>3890</v>
      </c>
      <c r="AL33" s="30">
        <v>3890</v>
      </c>
      <c r="AM33" s="30">
        <v>3890</v>
      </c>
      <c r="AN33" s="30">
        <v>3890</v>
      </c>
      <c r="AO33" s="31">
        <f t="shared" si="11"/>
        <v>46680</v>
      </c>
    </row>
    <row r="34" spans="1:41" s="8" customFormat="1" ht="15" customHeight="1" x14ac:dyDescent="0.35">
      <c r="A34" s="25"/>
      <c r="B34" s="29" t="s">
        <v>27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12000</v>
      </c>
      <c r="K34" s="30">
        <v>0</v>
      </c>
      <c r="L34" s="30">
        <v>0</v>
      </c>
      <c r="M34" s="30">
        <v>0</v>
      </c>
      <c r="N34" s="30">
        <v>0</v>
      </c>
      <c r="O34" s="31">
        <f t="shared" si="9"/>
        <v>12000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8520</v>
      </c>
      <c r="Y34" s="30">
        <v>0</v>
      </c>
      <c r="Z34" s="30">
        <v>0</v>
      </c>
      <c r="AA34" s="30">
        <v>0</v>
      </c>
      <c r="AB34" s="31">
        <f t="shared" si="10"/>
        <v>8520</v>
      </c>
      <c r="AC34" s="30">
        <v>0</v>
      </c>
      <c r="AD34" s="30">
        <v>0</v>
      </c>
      <c r="AE34" s="30">
        <v>7400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1">
        <f t="shared" si="11"/>
        <v>7400</v>
      </c>
    </row>
    <row r="35" spans="1:41" s="8" customFormat="1" ht="15" customHeight="1" x14ac:dyDescent="0.35">
      <c r="A35" s="25"/>
      <c r="B35" s="29" t="s">
        <v>8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2530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1">
        <f t="shared" si="9"/>
        <v>2530</v>
      </c>
      <c r="P35" s="30">
        <v>0</v>
      </c>
      <c r="Q35" s="30">
        <v>0</v>
      </c>
      <c r="R35" s="30">
        <v>0</v>
      </c>
      <c r="S35" s="30">
        <v>0</v>
      </c>
      <c r="T35" s="30">
        <v>900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1">
        <f t="shared" si="10"/>
        <v>900</v>
      </c>
      <c r="AC35" s="30">
        <v>0</v>
      </c>
      <c r="AD35" s="30">
        <v>0</v>
      </c>
      <c r="AE35" s="30">
        <v>0</v>
      </c>
      <c r="AF35" s="30">
        <v>710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1">
        <f t="shared" si="11"/>
        <v>710</v>
      </c>
    </row>
    <row r="36" spans="1:41" s="11" customFormat="1" ht="15" customHeight="1" x14ac:dyDescent="0.35">
      <c r="B36" s="2" t="s">
        <v>61</v>
      </c>
      <c r="C36" s="36">
        <f t="shared" ref="C36:AO36" ca="1" si="12">SUM(OFFSET($B$12,1,COLUMN(C12)-2,ROW($B$36)-ROW($B$12)-1,1))</f>
        <v>48085</v>
      </c>
      <c r="D36" s="36">
        <f t="shared" ca="1" si="12"/>
        <v>46835</v>
      </c>
      <c r="E36" s="36">
        <f t="shared" ca="1" si="12"/>
        <v>52935</v>
      </c>
      <c r="F36" s="36">
        <f t="shared" ca="1" si="12"/>
        <v>124935</v>
      </c>
      <c r="G36" s="36">
        <f t="shared" ca="1" si="12"/>
        <v>67435</v>
      </c>
      <c r="H36" s="36">
        <f t="shared" ca="1" si="12"/>
        <v>72155</v>
      </c>
      <c r="I36" s="36">
        <f t="shared" ca="1" si="12"/>
        <v>52225</v>
      </c>
      <c r="J36" s="36">
        <f t="shared" ca="1" si="12"/>
        <v>103695</v>
      </c>
      <c r="K36" s="36">
        <f t="shared" ca="1" si="12"/>
        <v>89995</v>
      </c>
      <c r="L36" s="36">
        <f t="shared" ca="1" si="12"/>
        <v>56454</v>
      </c>
      <c r="M36" s="36">
        <f t="shared" ca="1" si="12"/>
        <v>47695</v>
      </c>
      <c r="N36" s="36">
        <f t="shared" ca="1" si="12"/>
        <v>51895</v>
      </c>
      <c r="O36" s="36">
        <f t="shared" ca="1" si="12"/>
        <v>814339</v>
      </c>
      <c r="P36" s="36">
        <f t="shared" ca="1" si="12"/>
        <v>66121</v>
      </c>
      <c r="Q36" s="36">
        <f t="shared" ca="1" si="12"/>
        <v>90088</v>
      </c>
      <c r="R36" s="36">
        <f t="shared" ca="1" si="12"/>
        <v>65578</v>
      </c>
      <c r="S36" s="36">
        <f t="shared" ca="1" si="12"/>
        <v>80853</v>
      </c>
      <c r="T36" s="36">
        <f t="shared" ca="1" si="12"/>
        <v>67045</v>
      </c>
      <c r="U36" s="36">
        <f t="shared" ca="1" si="12"/>
        <v>104890</v>
      </c>
      <c r="V36" s="36">
        <f t="shared" ca="1" si="12"/>
        <v>66478</v>
      </c>
      <c r="W36" s="36">
        <f t="shared" ca="1" si="12"/>
        <v>94256</v>
      </c>
      <c r="X36" s="36">
        <f t="shared" ca="1" si="12"/>
        <v>75523</v>
      </c>
      <c r="Y36" s="36">
        <f t="shared" ca="1" si="12"/>
        <v>124553</v>
      </c>
      <c r="Z36" s="36">
        <f t="shared" ca="1" si="12"/>
        <v>100003</v>
      </c>
      <c r="AA36" s="36">
        <f t="shared" ca="1" si="12"/>
        <v>67647</v>
      </c>
      <c r="AB36" s="36">
        <f t="shared" ca="1" si="12"/>
        <v>1003035</v>
      </c>
      <c r="AC36" s="36">
        <f t="shared" ca="1" si="12"/>
        <v>82695</v>
      </c>
      <c r="AD36" s="36">
        <f t="shared" ca="1" si="12"/>
        <v>135300</v>
      </c>
      <c r="AE36" s="36">
        <f t="shared" ca="1" si="12"/>
        <v>93255</v>
      </c>
      <c r="AF36" s="36">
        <f t="shared" ca="1" si="12"/>
        <v>105255</v>
      </c>
      <c r="AG36" s="36">
        <f t="shared" ca="1" si="12"/>
        <v>178565</v>
      </c>
      <c r="AH36" s="36">
        <f t="shared" ca="1" si="12"/>
        <v>96429</v>
      </c>
      <c r="AI36" s="36">
        <f t="shared" ca="1" si="12"/>
        <v>115246</v>
      </c>
      <c r="AJ36" s="36">
        <f t="shared" ca="1" si="12"/>
        <v>88937</v>
      </c>
      <c r="AK36" s="36">
        <f t="shared" ca="1" si="12"/>
        <v>114791</v>
      </c>
      <c r="AL36" s="36">
        <f t="shared" ca="1" si="12"/>
        <v>96891</v>
      </c>
      <c r="AM36" s="36">
        <f t="shared" ca="1" si="12"/>
        <v>97346</v>
      </c>
      <c r="AN36" s="36">
        <f t="shared" ca="1" si="12"/>
        <v>97878</v>
      </c>
      <c r="AO36" s="36">
        <f t="shared" ca="1" si="12"/>
        <v>1302588</v>
      </c>
    </row>
    <row r="37" spans="1:41" ht="15" customHeight="1" x14ac:dyDescent="0.3">
      <c r="C37" s="30"/>
      <c r="D37" s="30"/>
      <c r="E37" s="30"/>
      <c r="F37" s="3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</row>
    <row r="38" spans="1:41" ht="15" customHeight="1" x14ac:dyDescent="0.35">
      <c r="A38" s="25"/>
      <c r="B38" s="7" t="s">
        <v>79</v>
      </c>
      <c r="C38" s="30">
        <v>13333.333333333334</v>
      </c>
      <c r="D38" s="30">
        <v>13333.333333333334</v>
      </c>
      <c r="E38" s="30">
        <v>14166.666666666666</v>
      </c>
      <c r="F38" s="30">
        <v>14166.666666666666</v>
      </c>
      <c r="G38" s="30">
        <v>14166.666666666666</v>
      </c>
      <c r="H38" s="30">
        <v>15416.666666666666</v>
      </c>
      <c r="I38" s="30">
        <v>15416.666666666666</v>
      </c>
      <c r="J38" s="30">
        <v>15416.666666666666</v>
      </c>
      <c r="K38" s="30">
        <v>15416.666666666666</v>
      </c>
      <c r="L38" s="30">
        <v>15416.666666666666</v>
      </c>
      <c r="M38" s="30">
        <v>15416.666666666666</v>
      </c>
      <c r="N38" s="30">
        <v>15416.666666666666</v>
      </c>
      <c r="O38" s="31">
        <f>SUM(C38:N38)</f>
        <v>177083.33333333334</v>
      </c>
      <c r="P38" s="30">
        <v>13715.277777777783</v>
      </c>
      <c r="Q38" s="30">
        <v>13715.277777777783</v>
      </c>
      <c r="R38" s="30">
        <v>13715.277777777783</v>
      </c>
      <c r="S38" s="30">
        <v>13715.277777777783</v>
      </c>
      <c r="T38" s="30">
        <v>13715.277777777783</v>
      </c>
      <c r="U38" s="30">
        <v>13715.277777777783</v>
      </c>
      <c r="V38" s="30">
        <v>13715.277777777783</v>
      </c>
      <c r="W38" s="30">
        <v>14215.277777777783</v>
      </c>
      <c r="X38" s="30">
        <v>14215.277777777783</v>
      </c>
      <c r="Y38" s="30">
        <v>14215.277777777783</v>
      </c>
      <c r="Z38" s="30">
        <v>14215.277777777783</v>
      </c>
      <c r="AA38" s="30">
        <v>14215.277777777783</v>
      </c>
      <c r="AB38" s="31">
        <f>SUM(P38:AA38)</f>
        <v>167083.3333333334</v>
      </c>
      <c r="AC38" s="30">
        <v>11430.555555555567</v>
      </c>
      <c r="AD38" s="30">
        <v>12797.222222222234</v>
      </c>
      <c r="AE38" s="30">
        <v>12797.222222222234</v>
      </c>
      <c r="AF38" s="30">
        <v>12797.222222222234</v>
      </c>
      <c r="AG38" s="30">
        <v>12797.222222222234</v>
      </c>
      <c r="AH38" s="30">
        <v>12797.222222222234</v>
      </c>
      <c r="AI38" s="30">
        <v>12797.222222222234</v>
      </c>
      <c r="AJ38" s="30">
        <v>12797.222222222234</v>
      </c>
      <c r="AK38" s="30">
        <v>12797.222222222234</v>
      </c>
      <c r="AL38" s="30">
        <v>14380.555555555567</v>
      </c>
      <c r="AM38" s="30">
        <v>14380.555555555567</v>
      </c>
      <c r="AN38" s="30">
        <v>14380.555555555567</v>
      </c>
      <c r="AO38" s="31">
        <f>SUM(AC38:AN38)</f>
        <v>156950.00000000015</v>
      </c>
    </row>
    <row r="39" spans="1:41" ht="15" customHeight="1" x14ac:dyDescent="0.3">
      <c r="C39" s="30"/>
      <c r="D39" s="30"/>
      <c r="E39" s="30"/>
      <c r="F39" s="3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</row>
    <row r="40" spans="1:41" s="11" customFormat="1" ht="15" customHeight="1" x14ac:dyDescent="0.35">
      <c r="B40" s="2" t="s">
        <v>76</v>
      </c>
      <c r="C40" s="31">
        <f ca="1">SUM(C9,-C36,-C38)</f>
        <v>43581.666666666664</v>
      </c>
      <c r="D40" s="31">
        <f t="shared" ref="D40:AO40" ca="1" si="13">SUM(D9,-D36,-D38)</f>
        <v>62231.666666666664</v>
      </c>
      <c r="E40" s="31">
        <f t="shared" ca="1" si="13"/>
        <v>44898.333333333336</v>
      </c>
      <c r="F40" s="31">
        <f t="shared" ca="1" si="13"/>
        <v>-23541.666666666664</v>
      </c>
      <c r="G40" s="31">
        <f t="shared" ca="1" si="13"/>
        <v>31248.333333333336</v>
      </c>
      <c r="H40" s="31">
        <f t="shared" ca="1" si="13"/>
        <v>30828.333333333336</v>
      </c>
      <c r="I40" s="31">
        <f t="shared" ca="1" si="13"/>
        <v>48908.333333333336</v>
      </c>
      <c r="J40" s="31">
        <f t="shared" ca="1" si="13"/>
        <v>-8111.6666666666661</v>
      </c>
      <c r="K40" s="31">
        <f t="shared" ca="1" si="13"/>
        <v>12988.333333333334</v>
      </c>
      <c r="L40" s="31">
        <f t="shared" ca="1" si="13"/>
        <v>50229.333333333336</v>
      </c>
      <c r="M40" s="31">
        <f t="shared" ca="1" si="13"/>
        <v>58248.333333333336</v>
      </c>
      <c r="N40" s="31">
        <f t="shared" ca="1" si="13"/>
        <v>47388.333333333336</v>
      </c>
      <c r="O40" s="31">
        <f t="shared" ca="1" si="13"/>
        <v>398897.66666666663</v>
      </c>
      <c r="P40" s="31">
        <f t="shared" ca="1" si="13"/>
        <v>49663.722222222219</v>
      </c>
      <c r="Q40" s="31">
        <f t="shared" ca="1" si="13"/>
        <v>14596.722222222217</v>
      </c>
      <c r="R40" s="31">
        <f t="shared" ca="1" si="13"/>
        <v>48356.722222222219</v>
      </c>
      <c r="S40" s="31">
        <f t="shared" ca="1" si="13"/>
        <v>36411.722222222219</v>
      </c>
      <c r="T40" s="31">
        <f t="shared" ca="1" si="13"/>
        <v>47629.722222222219</v>
      </c>
      <c r="U40" s="31">
        <f t="shared" ca="1" si="13"/>
        <v>-805.27777777778283</v>
      </c>
      <c r="V40" s="31">
        <f t="shared" ca="1" si="13"/>
        <v>39506.722222222219</v>
      </c>
      <c r="W40" s="31">
        <f t="shared" ca="1" si="13"/>
        <v>24528.722222222219</v>
      </c>
      <c r="X40" s="31">
        <f t="shared" ca="1" si="13"/>
        <v>38701.722222222219</v>
      </c>
      <c r="Y40" s="31">
        <f t="shared" ca="1" si="13"/>
        <v>-1208.2777777777828</v>
      </c>
      <c r="Z40" s="31">
        <f t="shared" ca="1" si="13"/>
        <v>21441.722222222219</v>
      </c>
      <c r="AA40" s="31">
        <f t="shared" ca="1" si="13"/>
        <v>55807.722222222219</v>
      </c>
      <c r="AB40" s="31">
        <f t="shared" ca="1" si="13"/>
        <v>374631.66666666663</v>
      </c>
      <c r="AC40" s="31">
        <f t="shared" ca="1" si="13"/>
        <v>50674.444444444431</v>
      </c>
      <c r="AD40" s="31">
        <f t="shared" ca="1" si="13"/>
        <v>-897.22222222223354</v>
      </c>
      <c r="AE40" s="31">
        <f t="shared" ca="1" si="13"/>
        <v>33547.777777777766</v>
      </c>
      <c r="AF40" s="31">
        <f t="shared" ca="1" si="13"/>
        <v>29947.777777777766</v>
      </c>
      <c r="AG40" s="31">
        <f t="shared" ca="1" si="13"/>
        <v>-45762.222222222234</v>
      </c>
      <c r="AH40" s="31">
        <f t="shared" ca="1" si="13"/>
        <v>43173.777777777766</v>
      </c>
      <c r="AI40" s="31">
        <f t="shared" ca="1" si="13"/>
        <v>27556.777777777766</v>
      </c>
      <c r="AJ40" s="31">
        <f t="shared" ca="1" si="13"/>
        <v>47065.777777777766</v>
      </c>
      <c r="AK40" s="31">
        <f t="shared" ca="1" si="13"/>
        <v>24411.777777777766</v>
      </c>
      <c r="AL40" s="31">
        <f t="shared" ca="1" si="13"/>
        <v>42728.444444444431</v>
      </c>
      <c r="AM40" s="31">
        <f t="shared" ca="1" si="13"/>
        <v>37873.444444444431</v>
      </c>
      <c r="AN40" s="31">
        <f t="shared" ca="1" si="13"/>
        <v>43741.444444444431</v>
      </c>
      <c r="AO40" s="31">
        <f t="shared" ca="1" si="13"/>
        <v>334061.99999999988</v>
      </c>
    </row>
    <row r="41" spans="1:41" ht="15" customHeight="1" x14ac:dyDescent="0.3">
      <c r="C41" s="30"/>
      <c r="D41" s="30"/>
      <c r="E41" s="30"/>
      <c r="F41" s="3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</row>
    <row r="42" spans="1:41" s="8" customFormat="1" ht="15" customHeight="1" x14ac:dyDescent="0.35">
      <c r="B42" s="29" t="s">
        <v>49</v>
      </c>
      <c r="C42" s="30">
        <f ca="1">OFFSET(Loans!$E$9,COLUMN(C37)-2,0,1,1)</f>
        <v>9625</v>
      </c>
      <c r="D42" s="30">
        <f ca="1">OFFSET(Loans!$E$9,COLUMN(D37)-2,0,1,1)</f>
        <v>9502.3399588606189</v>
      </c>
      <c r="E42" s="30">
        <f ca="1">OFFSET(Loans!$E$9,COLUMN(E37)-2,0,1,1)</f>
        <v>9378.6066423612701</v>
      </c>
      <c r="F42" s="30">
        <f ca="1">OFFSET(Loans!$E$9,COLUMN(F37)-2,0,1,1)</f>
        <v>9253.7906593425487</v>
      </c>
      <c r="G42" s="30">
        <f ca="1">OFFSET(Loans!$E$9,COLUMN(G37)-2,0,1,1)</f>
        <v>10002.882536472416</v>
      </c>
      <c r="H42" s="30">
        <f ca="1">OFFSET(Loans!$E$9,COLUMN(H37)-2,0,1,1)</f>
        <v>9864.7218046963171</v>
      </c>
      <c r="I42" s="30">
        <f ca="1">OFFSET(Loans!$E$9,COLUMN(I37)-2,0,1,1)</f>
        <v>9725.3521665171775</v>
      </c>
      <c r="J42" s="30">
        <f ca="1">OFFSET(Loans!$E$9,COLUMN(J37)-2,0,1,1)</f>
        <v>9584.7630440039684</v>
      </c>
      <c r="K42" s="30">
        <f ca="1">OFFSET(Loans!$E$9,COLUMN(K37)-2,0,1,1)</f>
        <v>9442.94376666877</v>
      </c>
      <c r="L42" s="30">
        <f ca="1">OFFSET(Loans!$E$9,COLUMN(L37)-2,0,1,1)</f>
        <v>9299.8835706568898</v>
      </c>
      <c r="M42" s="30">
        <f ca="1">OFFSET(Loans!$E$9,COLUMN(M37)-2,0,1,1)</f>
        <v>9155.5715979299039</v>
      </c>
      <c r="N42" s="30">
        <f ca="1">OFFSET(Loans!$E$9,COLUMN(N37)-2,0,1,1)</f>
        <v>9009.9968954415563</v>
      </c>
      <c r="O42" s="31">
        <f ca="1">SUM(C42:N42)</f>
        <v>113845.85264295143</v>
      </c>
      <c r="P42" s="30">
        <f ca="1">OFFSET(Loans!$E$9,COLUMN(P37)-3,0,1,1)</f>
        <v>8863.1484143064354</v>
      </c>
      <c r="Q42" s="30">
        <f ca="1">OFFSET(Loans!$E$9,COLUMN(Q37)-3,0,1,1)</f>
        <v>8715.0150089613835</v>
      </c>
      <c r="R42" s="30">
        <f ca="1">OFFSET(Loans!$E$9,COLUMN(R37)-3,0,1,1)</f>
        <v>8565.5854363195631</v>
      </c>
      <c r="S42" s="30">
        <f ca="1">OFFSET(Loans!$E$9,COLUMN(S37)-3,0,1,1)</f>
        <v>9114.8483549171269</v>
      </c>
      <c r="T42" s="30">
        <f ca="1">OFFSET(Loans!$E$9,COLUMN(T37)-3,0,1,1)</f>
        <v>8953.871593787735</v>
      </c>
      <c r="U42" s="30">
        <f ca="1">OFFSET(Loans!$E$9,COLUMN(U37)-3,0,1,1)</f>
        <v>8791.4862859984623</v>
      </c>
      <c r="V42" s="30">
        <f ca="1">OFFSET(Loans!$E$9,COLUMN(V37)-3,0,1,1)</f>
        <v>8627.6801067660326</v>
      </c>
      <c r="W42" s="30">
        <f ca="1">OFFSET(Loans!$E$9,COLUMN(W37)-3,0,1,1)</f>
        <v>8462.4406234653216</v>
      </c>
      <c r="X42" s="30">
        <f ca="1">OFFSET(Loans!$E$9,COLUMN(X37)-3,0,1,1)</f>
        <v>8295.7552946857268</v>
      </c>
      <c r="Y42" s="30">
        <f ca="1">OFFSET(Loans!$E$9,COLUMN(Y37)-3,0,1,1)</f>
        <v>8127.6114692793117</v>
      </c>
      <c r="Z42" s="30">
        <f ca="1">OFFSET(Loans!$E$9,COLUMN(Z37)-3,0,1,1)</f>
        <v>7957.99638540059</v>
      </c>
      <c r="AA42" s="30">
        <f ca="1">OFFSET(Loans!$E$9,COLUMN(AA37)-3,0,1,1)</f>
        <v>7786.8971695379296</v>
      </c>
      <c r="AB42" s="31">
        <f ca="1">SUM(P42:AA42)</f>
        <v>102262.33614342562</v>
      </c>
      <c r="AC42" s="30">
        <f ca="1">OFFSET(Loans!$E$9,COLUMN(AC37)-4,0,1,1)</f>
        <v>7614.3008355364718</v>
      </c>
      <c r="AD42" s="30">
        <f ca="1">OFFSET(Loans!$E$9,COLUMN(AD37)-4,0,1,1)</f>
        <v>7440.194283612499</v>
      </c>
      <c r="AE42" s="30">
        <f ca="1">OFFSET(Loans!$E$9,COLUMN(AE37)-4,0,1,1)</f>
        <v>7264.5642993591937</v>
      </c>
      <c r="AF42" s="30">
        <f ca="1">OFFSET(Loans!$E$9,COLUMN(AF37)-4,0,1,1)</f>
        <v>7087.3975527436714</v>
      </c>
      <c r="AG42" s="30">
        <f ca="1">OFFSET(Loans!$E$9,COLUMN(AG37)-4,0,1,1)</f>
        <v>7564.9305970952628</v>
      </c>
      <c r="AH42" s="30">
        <f ca="1">OFFSET(Loans!$E$9,COLUMN(AH37)-4,0,1,1)</f>
        <v>7376.2866834617917</v>
      </c>
      <c r="AI42" s="30">
        <f ca="1">OFFSET(Loans!$E$9,COLUMN(AI37)-4,0,1,1)</f>
        <v>7185.992135584027</v>
      </c>
      <c r="AJ42" s="30">
        <f ca="1">OFFSET(Loans!$E$9,COLUMN(AJ37)-4,0,1,1)</f>
        <v>6994.0325104123331</v>
      </c>
      <c r="AK42" s="30">
        <f ca="1">OFFSET(Loans!$E$9,COLUMN(AK37)-4,0,1,1)</f>
        <v>6800.3932385203852</v>
      </c>
      <c r="AL42" s="30">
        <f ca="1">OFFSET(Loans!$E$9,COLUMN(AL37)-4,0,1,1)</f>
        <v>6605.0596229993835</v>
      </c>
      <c r="AM42" s="30">
        <f ca="1">OFFSET(Loans!$E$9,COLUMN(AM37)-4,0,1,1)</f>
        <v>6670.5168383425735</v>
      </c>
      <c r="AN42" s="30">
        <f ca="1">OFFSET(Loans!$E$9,COLUMN(AN37)-4,0,1,1)</f>
        <v>6468.4046554707602</v>
      </c>
      <c r="AO42" s="31">
        <f ca="1">SUM(AC42:AN42)</f>
        <v>85072.073253138355</v>
      </c>
    </row>
    <row r="43" spans="1:41" s="8" customFormat="1" ht="15" customHeight="1" x14ac:dyDescent="0.35">
      <c r="B43" s="29" t="s">
        <v>43</v>
      </c>
      <c r="C43" s="30">
        <f ca="1">IF(SUM($C40:C40)-SUM($C42:C42)&lt;0,0,(SUM($C40:C40)-SUM($C42:C42))*Assumptions!$B$31)</f>
        <v>9507.8666666666668</v>
      </c>
      <c r="D43" s="30">
        <f ca="1">IF(SUM($C40:D40)-SUM($C42:D42)&lt;0,-SUM($C43:C43),((SUM($C40:D40)-SUM($C42:D42))*Assumptions!$B$31)-SUM($C43:C43))</f>
        <v>14764.211478185696</v>
      </c>
      <c r="E43" s="30">
        <f ca="1">IF(SUM($C40:E40)-SUM($C42:E42)&lt;0,-SUM($C43:D43),((SUM($C40:E40)-SUM($C42:E42))*Assumptions!$B$31)-SUM($C43:D43))</f>
        <v>9945.5234734721744</v>
      </c>
      <c r="F43" s="30">
        <f ca="1">IF(SUM($C40:F40)-SUM($C42:F42)&lt;0,-SUM($C43:E43),((SUM($C40:F40)-SUM($C42:F42))*Assumptions!$B$31)-SUM($C43:E43))</f>
        <v>-9182.7280512825782</v>
      </c>
      <c r="G43" s="30">
        <f ca="1">IF(SUM($C40:G40)-SUM($C42:G42)&lt;0,-SUM($C43:F43),((SUM($C40:G40)-SUM($C42:G42))*Assumptions!$B$31)-SUM($C43:F43))</f>
        <v>5948.7262231210589</v>
      </c>
      <c r="H43" s="30">
        <f ca="1">IF(SUM($C40:H40)-SUM($C42:H42)&lt;0,-SUM($C43:G43),((SUM($C40:H40)-SUM($C42:H42))*Assumptions!$B$31)-SUM($C43:G43))</f>
        <v>5869.8112280183705</v>
      </c>
      <c r="I43" s="30">
        <f ca="1">IF(SUM($C40:I40)-SUM($C42:I42)&lt;0,-SUM($C43:H43),((SUM($C40:I40)-SUM($C42:I42))*Assumptions!$B$31)-SUM($C43:H43))</f>
        <v>10971.234726708528</v>
      </c>
      <c r="J43" s="30">
        <f ca="1">IF(SUM($C40:J40)-SUM($C42:J42)&lt;0,-SUM($C43:I43),((SUM($C40:J40)-SUM($C42:J42))*Assumptions!$B$31)-SUM($C43:I43))</f>
        <v>-4955.0003189877825</v>
      </c>
      <c r="K43" s="30">
        <f ca="1">IF(SUM($C40:K40)-SUM($C42:K42)&lt;0,-SUM($C43:J43),((SUM($C40:K40)-SUM($C42:K42))*Assumptions!$B$31)-SUM($C43:J43))</f>
        <v>992.70907866608468</v>
      </c>
      <c r="L43" s="30">
        <f ca="1">IF(SUM($C40:L40)-SUM($C42:L42)&lt;0,-SUM($C43:K43),((SUM($C40:L40)-SUM($C42:L42))*Assumptions!$B$31)-SUM($C43:K43))</f>
        <v>11460.245933549406</v>
      </c>
      <c r="M43" s="30">
        <f ca="1">IF(SUM($C40:M40)-SUM($C42:M42)&lt;0,-SUM($C43:L43),((SUM($C40:M40)-SUM($C42:M42))*Assumptions!$B$31)-SUM($C43:L43))</f>
        <v>13745.973285912965</v>
      </c>
      <c r="N43" s="30">
        <f ca="1">IF(SUM($C40:N40)-SUM($C42:N42)&lt;0,-SUM($C43:M43),((SUM($C40:N40)-SUM($C42:N42))*Assumptions!$B$31)-SUM($C43:M43))</f>
        <v>10745.9342026097</v>
      </c>
      <c r="O43" s="31">
        <f ca="1">SUM(C43:N43)</f>
        <v>79814.50792664029</v>
      </c>
      <c r="P43" s="30">
        <f ca="1">IF(SUM($P40:P40)-SUM($P42:P42)+SUM($C$40:$N$40)-SUM($C$42:$N$42)&lt;0,-SUM($C$43:$N$43),((SUM($P40:P40)-SUM($P42:P42)+SUM($C$40:$N$40)-SUM($C$42:$N$42))*Assumptions!$B$31)-SUM($C$43:$N$43))</f>
        <v>11424.160666216412</v>
      </c>
      <c r="Q43" s="30">
        <f ca="1">IF(SUM($P40:Q40)-SUM($P42:Q42)+SUM($C$40:$N$40)-SUM($C$42:$N$42)&lt;0,-(SUM($C$43:$N43)+SUM($P43:P43)),((SUM($P40:Q40)-SUM($P42:Q42)+SUM($C$40:$N$40)-SUM($C$42:$N$42))*Assumptions!$B$31)-(SUM($C$43:$N43)+SUM($P43:P43)))</f>
        <v>1646.8780197130254</v>
      </c>
      <c r="R43" s="30">
        <f ca="1">IF(SUM($P40:R40)-SUM($P42:R42)+SUM($C$40:$N$40)-SUM($C$42:$N$42)&lt;0,-(SUM($C$43:$N43)+SUM($P43:Q43)),((SUM($P40:R40)-SUM($P42:R42)+SUM($C$40:$N$40)-SUM($C$42:$N$42))*Assumptions!$B$31)-(SUM($C$43:$N43)+SUM($P43:Q43)))</f>
        <v>11141.518300052747</v>
      </c>
      <c r="S43" s="30">
        <f ca="1">IF(SUM($P40:S40)-SUM($P42:S42)+SUM($C$40:$N$40)-SUM($C$42:$N$42)&lt;0,-(SUM($C$43:$N43)+SUM($P43:R43)),((SUM($P40:S40)-SUM($P42:S42)+SUM($C$40:$N$40)-SUM($C$42:$N$42))*Assumptions!$B$31)-(SUM($C$43:$N43)+SUM($P43:R43)))</f>
        <v>7643.1246828454314</v>
      </c>
      <c r="T43" s="30">
        <f ca="1">IF(SUM($P40:T40)-SUM($P42:T42)+SUM($C$40:$N$40)-SUM($C$42:$N$42)&lt;0,-(SUM($C$43:$N43)+SUM($P43:S43)),((SUM($P40:T40)-SUM($P42:T42)+SUM($C$40:$N$40)-SUM($C$42:$N$42))*Assumptions!$B$31)-(SUM($C$43:$N43)+SUM($P43:S43)))</f>
        <v>10829.238175961669</v>
      </c>
      <c r="U43" s="30">
        <f ca="1">IF(SUM($P40:U40)-SUM($P42:U42)+SUM($C$40:$N$40)-SUM($C$42:$N$42)&lt;0,-(SUM($C$43:$N43)+SUM($P43:T43)),((SUM($P40:U40)-SUM($P42:U42)+SUM($C$40:$N$40)-SUM($C$42:$N$42))*Assumptions!$B$31)-(SUM($C$43:$N43)+SUM($P43:T43)))</f>
        <v>-2687.093937857353</v>
      </c>
      <c r="V43" s="30">
        <f ca="1">IF(SUM($P40:V40)-SUM($P42:V42)+SUM($C$40:$N$40)-SUM($C$42:$N$42)&lt;0,-(SUM($C$43:$N43)+SUM($P43:U43)),((SUM($P40:V40)-SUM($P42:V42)+SUM($C$40:$N$40)-SUM($C$42:$N$42))*Assumptions!$B$31)-(SUM($C$43:$N43)+SUM($P43:U43)))</f>
        <v>8646.1317923277384</v>
      </c>
      <c r="W43" s="30">
        <f ca="1">IF(SUM($P40:W40)-SUM($P42:W42)+SUM($C$40:$N$40)-SUM($C$42:$N$42)&lt;0,-(SUM($C$43:$N43)+SUM($P43:V43)),((SUM($P40:W40)-SUM($P42:W42)+SUM($C$40:$N$40)-SUM($C$42:$N$42))*Assumptions!$B$31)-(SUM($C$43:$N43)+SUM($P43:V43)))</f>
        <v>4498.5588476519042</v>
      </c>
      <c r="X43" s="30">
        <f ca="1">IF(SUM($P40:X40)-SUM($P42:X42)+SUM($C$40:$N$40)-SUM($C$42:$N$42)&lt;0,-(SUM($C$43:$N43)+SUM($P43:W43)),((SUM($P40:X40)-SUM($P42:X42)+SUM($C$40:$N$40)-SUM($C$42:$N$42))*Assumptions!$B$31)-(SUM($C$43:$N43)+SUM($P43:W43)))</f>
        <v>8513.6707397102437</v>
      </c>
      <c r="Y43" s="30">
        <f ca="1">IF(SUM($P40:Y40)-SUM($P42:Y42)+SUM($C$40:$N$40)-SUM($C$42:$N$42)&lt;0,-(SUM($C$43:$N43)+SUM($P43:X43)),((SUM($P40:Y40)-SUM($P42:Y42)+SUM($C$40:$N$40)-SUM($C$42:$N$42))*Assumptions!$B$31)-(SUM($C$43:$N43)+SUM($P43:X43)))</f>
        <v>-2614.0489891759935</v>
      </c>
      <c r="Z43" s="30">
        <f ca="1">IF(SUM($P40:Z40)-SUM($P42:Z42)+SUM($C$40:$N$40)-SUM($C$42:$N$42)&lt;0,-(SUM($C$43:$N43)+SUM($P43:Y43)),((SUM($P40:Z40)-SUM($P42:Z42)+SUM($C$40:$N$40)-SUM($C$42:$N$42))*Assumptions!$B$31)-(SUM($C$43:$N43)+SUM($P43:Y43)))</f>
        <v>3775.4432343100489</v>
      </c>
      <c r="AA43" s="30">
        <f ca="1">IF(SUM($P40:AA40)-SUM($P42:AA42)+SUM($C$40:$N$40)-SUM($C$42:$N$42)&lt;0,-(SUM($C$43:$N43)+SUM($P43:Z43)),((SUM($P40:AA40)-SUM($P42:AA42)+SUM($C$40:$N$40)-SUM($C$42:$N$42))*Assumptions!$B$31)-(SUM($C$43:$N43)+SUM($P43:Z43)))</f>
        <v>13445.831014751602</v>
      </c>
      <c r="AB43" s="31">
        <f ca="1">SUM(P43:AA43)</f>
        <v>76263.412546507476</v>
      </c>
      <c r="AC43" s="30">
        <f ca="1">IF(SUM($AC40:AC40)-SUM($AC42:AC42)+SUM($C$40:$N$40)-SUM($C$42:$N$42)+SUM($P$40:$AA$40)-SUM($P$42:$AA$42)&lt;0,-(SUM($C$43:$N$43)+SUM($P$43:$AA$43)),((SUM($AC40:AC40)-SUM($AC42:AC42)+SUM($C$40:$N$40)-SUM($C$42:$N$42)+SUM($P$40:$AA$40)-SUM($P$42:$AA$42))*Assumptions!$B$31)-(SUM($C$43:$N$43)+SUM($P$43:$AA$43)))</f>
        <v>12056.840210494236</v>
      </c>
      <c r="AD43" s="30">
        <f ca="1">IF(SUM($AC40:AD40)-SUM($AC42:AD42)+SUM($C$40:$N$40)-SUM($C$42:$N$42)+SUM($P$40:$AA$40)-SUM($P$42:$AA$42)&lt;0,-(SUM($C$43:$N$43)+SUM($P$43:$AA$43)+SUM($AC$43:AC43)),((SUM($AC40:AD40)-SUM($AC42:AD42)+SUM($C$40:$N$40)-SUM($C$42:$N$42)+SUM($P$40:$AA$40)-SUM($P$42:$AA$42))*Assumptions!$B$31)-(SUM($C$43:$N$43)+SUM($P$43:$AA$43)+SUM($AC$43:AC43)))</f>
        <v>-2334.4766216337448</v>
      </c>
      <c r="AE43" s="30">
        <f ca="1">IF(SUM($AC40:AE40)-SUM($AC42:AE42)+SUM($C$40:$N$40)-SUM($C$42:$N$42)+SUM($P$40:$AA$40)-SUM($P$42:$AA$42)&lt;0,-(SUM($C$43:$N$43)+SUM($P$43:$AA$43)+SUM($AC$43:AD43)),((SUM($AC40:AE40)-SUM($AC42:AE42)+SUM($C$40:$N$40)-SUM($C$42:$N$42)+SUM($P$40:$AA$40)-SUM($P$42:$AA$42))*Assumptions!$B$31)-(SUM($C$43:$N$43)+SUM($P$43:$AA$43)+SUM($AC$43:AD43)))</f>
        <v>7359.299773957202</v>
      </c>
      <c r="AF43" s="30">
        <f ca="1">IF(SUM($AC40:AF40)-SUM($AC42:AF42)+SUM($C$40:$N$40)-SUM($C$42:$N$42)+SUM($P$40:$AA$40)-SUM($P$42:$AA$42)&lt;0,-(SUM($C$43:$N$43)+SUM($P$43:$AA$43)+SUM($AC$43:AE43)),((SUM($AC40:AF40)-SUM($AC42:AF42)+SUM($C$40:$N$40)-SUM($C$42:$N$42)+SUM($P$40:$AA$40)-SUM($P$42:$AA$42))*Assumptions!$B$31)-(SUM($C$43:$N$43)+SUM($P$43:$AA$43)+SUM($AC$43:AE43)))</f>
        <v>6400.9064630095672</v>
      </c>
      <c r="AG43" s="30">
        <f ca="1">IF(SUM($AC40:AG40)-SUM($AC42:AG42)+SUM($C$40:$N$40)-SUM($C$42:$N$42)+SUM($P$40:$AA$40)-SUM($P$42:$AA$42)&lt;0,-(SUM($C$43:$N$43)+SUM($P$43:$AA$43)+SUM($AC$43:AF43)),((SUM($AC40:AG40)-SUM($AC42:AG42)+SUM($C$40:$N$40)-SUM($C$42:$N$42)+SUM($P$40:$AA$40)-SUM($P$42:$AA$42))*Assumptions!$B$31)-(SUM($C$43:$N$43)+SUM($P$43:$AA$43)+SUM($AC$43:AF43)))</f>
        <v>-14931.602789408906</v>
      </c>
      <c r="AH43" s="30">
        <f ca="1">IF(SUM($AC40:AH40)-SUM($AC42:AH42)+SUM($C$40:$N$40)-SUM($C$42:$N$42)+SUM($P$40:$AA$40)-SUM($P$42:$AA$42)&lt;0,-(SUM($C$43:$N$43)+SUM($P$43:$AA$43)+SUM($AC$43:AG43)),((SUM($AC40:AH40)-SUM($AC42:AH42)+SUM($C$40:$N$40)-SUM($C$42:$N$42)+SUM($P$40:$AA$40)-SUM($P$42:$AA$42))*Assumptions!$B$31)-(SUM($C$43:$N$43)+SUM($P$43:$AA$43)+SUM($AC$43:AG43)))</f>
        <v>10023.297506408475</v>
      </c>
      <c r="AI43" s="30">
        <f ca="1">IF(SUM($AC40:AI40)-SUM($AC42:AI42)+SUM($C$40:$N$40)-SUM($C$42:$N$42)+SUM($P$40:$AA$40)-SUM($P$42:$AA$42)&lt;0,-(SUM($C$43:$N$43)+SUM($P$43:$AA$43)+SUM($AC$43:AH43)),((SUM($AC40:AI40)-SUM($AC42:AI42)+SUM($C$40:$N$40)-SUM($C$42:$N$42)+SUM($P$40:$AA$40)-SUM($P$42:$AA$42))*Assumptions!$B$31)-(SUM($C$43:$N$43)+SUM($P$43:$AA$43)+SUM($AC$43:AH43)))</f>
        <v>5703.8199798142596</v>
      </c>
      <c r="AJ43" s="30">
        <f ca="1">IF(SUM($AC40:AJ40)-SUM($AC42:AJ42)+SUM($C$40:$N$40)-SUM($C$42:$N$42)+SUM($P$40:$AA$40)-SUM($P$42:$AA$42)&lt;0,-(SUM($C$43:$N$43)+SUM($P$43:$AA$43)+SUM($AC$43:AI43)),((SUM($AC40:AJ40)-SUM($AC42:AJ42)+SUM($C$40:$N$40)-SUM($C$42:$N$42)+SUM($P$40:$AA$40)-SUM($P$42:$AA$42))*Assumptions!$B$31)-(SUM($C$43:$N$43)+SUM($P$43:$AA$43)+SUM($AC$43:AI43)))</f>
        <v>11220.088674862287</v>
      </c>
      <c r="AK43" s="30">
        <f ca="1">IF(SUM($AC40:AK40)-SUM($AC42:AK42)+SUM($C$40:$N$40)-SUM($C$42:$N$42)+SUM($P$40:$AA$40)-SUM($P$42:$AA$42)&lt;0,-(SUM($C$43:$N$43)+SUM($P$43:$AA$43)+SUM($AC$43:AJ43)),((SUM($AC40:AK40)-SUM($AC42:AK42)+SUM($C$40:$N$40)-SUM($C$42:$N$42)+SUM($P$40:$AA$40)-SUM($P$42:$AA$42))*Assumptions!$B$31)-(SUM($C$43:$N$43)+SUM($P$43:$AA$43)+SUM($AC$43:AJ43)))</f>
        <v>4931.1876709920762</v>
      </c>
      <c r="AL43" s="30">
        <f ca="1">IF(SUM($AC40:AL40)-SUM($AC42:AL42)+SUM($C$40:$N$40)-SUM($C$42:$N$42)+SUM($P$40:$AA$40)-SUM($P$42:$AA$42)&lt;0,-(SUM($C$43:$N$43)+SUM($P$43:$AA$43)+SUM($AC$43:AK43)),((SUM($AC40:AL40)-SUM($AC42:AL42)+SUM($C$40:$N$40)-SUM($C$42:$N$42)+SUM($P$40:$AA$40)-SUM($P$42:$AA$42))*Assumptions!$B$31)-(SUM($C$43:$N$43)+SUM($P$43:$AA$43)+SUM($AC$43:AK43)))</f>
        <v>10114.547750004625</v>
      </c>
      <c r="AM43" s="30">
        <f ca="1">IF(SUM($AC40:AM40)-SUM($AC42:AM42)+SUM($C$40:$N$40)-SUM($C$42:$N$42)+SUM($P$40:$AA$40)-SUM($P$42:$AA$42)&lt;0,-(SUM($C$43:$N$43)+SUM($P$43:$AA$43)+SUM($AC$43:AL43)),((SUM($AC40:AM40)-SUM($AC42:AM42)+SUM($C$40:$N$40)-SUM($C$42:$N$42)+SUM($P$40:$AA$40)-SUM($P$42:$AA$42))*Assumptions!$B$31)-(SUM($C$43:$N$43)+SUM($P$43:$AA$43)+SUM($AC$43:AL43)))</f>
        <v>8736.8197297085135</v>
      </c>
      <c r="AN43" s="30">
        <f ca="1">IF(SUM($AC40:AN40)-SUM($AC42:AN42)+SUM($C$40:$N$40)-SUM($C$42:$N$42)+SUM($P$40:$AA$40)-SUM($P$42:$AA$42)&lt;0,-(SUM($C$43:$N$43)+SUM($P$43:$AA$43)+SUM($AC$43:AM43)),((SUM($AC40:AN40)-SUM($AC42:AN42)+SUM($C$40:$N$40)-SUM($C$42:$N$42)+SUM($P$40:$AA$40)-SUM($P$42:$AA$42))*Assumptions!$B$31)-(SUM($C$43:$N$43)+SUM($P$43:$AA$43)+SUM($AC$43:AM43)))</f>
        <v>10436.451140912657</v>
      </c>
      <c r="AO43" s="31">
        <f ca="1">SUM(AC43:AN43)</f>
        <v>69717.179489121248</v>
      </c>
    </row>
    <row r="44" spans="1:41" ht="15" customHeight="1" x14ac:dyDescent="0.3">
      <c r="C44" s="30"/>
      <c r="D44" s="30"/>
      <c r="E44" s="30"/>
      <c r="F44" s="3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</row>
    <row r="45" spans="1:41" ht="15" customHeight="1" x14ac:dyDescent="0.35">
      <c r="B45" s="2" t="s">
        <v>77</v>
      </c>
      <c r="C45" s="31">
        <f t="shared" ref="C45:AO45" ca="1" si="14">SUM(C40,-C42,-C43)</f>
        <v>24448.799999999996</v>
      </c>
      <c r="D45" s="31">
        <f t="shared" ca="1" si="14"/>
        <v>37965.115229620351</v>
      </c>
      <c r="E45" s="31">
        <f t="shared" ca="1" si="14"/>
        <v>25574.203217499889</v>
      </c>
      <c r="F45" s="31">
        <f t="shared" ca="1" si="14"/>
        <v>-23612.729274726637</v>
      </c>
      <c r="G45" s="31">
        <f t="shared" ca="1" si="14"/>
        <v>15296.724573739859</v>
      </c>
      <c r="H45" s="31">
        <f t="shared" ca="1" si="14"/>
        <v>15093.800300618648</v>
      </c>
      <c r="I45" s="31">
        <f t="shared" ca="1" si="14"/>
        <v>28211.746440107629</v>
      </c>
      <c r="J45" s="31">
        <f t="shared" ca="1" si="14"/>
        <v>-12741.429391682854</v>
      </c>
      <c r="K45" s="31">
        <f t="shared" ca="1" si="14"/>
        <v>2552.6804879984793</v>
      </c>
      <c r="L45" s="31">
        <f t="shared" ca="1" si="14"/>
        <v>29469.203829127044</v>
      </c>
      <c r="M45" s="31">
        <f t="shared" ca="1" si="14"/>
        <v>35346.788449490465</v>
      </c>
      <c r="N45" s="31">
        <f t="shared" ca="1" si="14"/>
        <v>27632.402235282076</v>
      </c>
      <c r="O45" s="31">
        <f t="shared" ca="1" si="14"/>
        <v>205237.30609707494</v>
      </c>
      <c r="P45" s="31">
        <f t="shared" ca="1" si="14"/>
        <v>29376.41314169937</v>
      </c>
      <c r="Q45" s="31">
        <f t="shared" ca="1" si="14"/>
        <v>4234.8291935478082</v>
      </c>
      <c r="R45" s="31">
        <f t="shared" ca="1" si="14"/>
        <v>28649.618485849911</v>
      </c>
      <c r="S45" s="31">
        <f t="shared" ca="1" si="14"/>
        <v>19653.749184459659</v>
      </c>
      <c r="T45" s="31">
        <f t="shared" ca="1" si="14"/>
        <v>27846.612452472815</v>
      </c>
      <c r="U45" s="31">
        <f t="shared" ca="1" si="14"/>
        <v>-6909.6701259188922</v>
      </c>
      <c r="V45" s="31">
        <f t="shared" ca="1" si="14"/>
        <v>22232.910323128446</v>
      </c>
      <c r="W45" s="31">
        <f t="shared" ca="1" si="14"/>
        <v>11567.722751104993</v>
      </c>
      <c r="X45" s="31">
        <f t="shared" ca="1" si="14"/>
        <v>21892.29618782625</v>
      </c>
      <c r="Y45" s="31">
        <f t="shared" ca="1" si="14"/>
        <v>-6721.8402578811001</v>
      </c>
      <c r="Z45" s="31">
        <f t="shared" ca="1" si="14"/>
        <v>9708.2826025115792</v>
      </c>
      <c r="AA45" s="31">
        <f t="shared" ca="1" si="14"/>
        <v>34574.994037932687</v>
      </c>
      <c r="AB45" s="31">
        <f t="shared" ca="1" si="14"/>
        <v>196105.91797673353</v>
      </c>
      <c r="AC45" s="31">
        <f t="shared" ca="1" si="14"/>
        <v>31003.303398413722</v>
      </c>
      <c r="AD45" s="31">
        <f t="shared" ca="1" si="14"/>
        <v>-6002.9398842009869</v>
      </c>
      <c r="AE45" s="31">
        <f t="shared" ca="1" si="14"/>
        <v>18923.913704461371</v>
      </c>
      <c r="AF45" s="31">
        <f t="shared" ca="1" si="14"/>
        <v>16459.473762024529</v>
      </c>
      <c r="AG45" s="31">
        <f t="shared" ca="1" si="14"/>
        <v>-38395.550029908591</v>
      </c>
      <c r="AH45" s="31">
        <f t="shared" ca="1" si="14"/>
        <v>25774.193587907503</v>
      </c>
      <c r="AI45" s="31">
        <f t="shared" ca="1" si="14"/>
        <v>14666.96566237948</v>
      </c>
      <c r="AJ45" s="31">
        <f t="shared" ca="1" si="14"/>
        <v>28851.656592503146</v>
      </c>
      <c r="AK45" s="31">
        <f t="shared" ca="1" si="14"/>
        <v>12680.196868265306</v>
      </c>
      <c r="AL45" s="31">
        <f t="shared" ca="1" si="14"/>
        <v>26008.837071440423</v>
      </c>
      <c r="AM45" s="31">
        <f t="shared" ca="1" si="14"/>
        <v>22466.107876393344</v>
      </c>
      <c r="AN45" s="31">
        <f t="shared" ca="1" si="14"/>
        <v>26836.588648061013</v>
      </c>
      <c r="AO45" s="31">
        <f t="shared" ca="1" si="14"/>
        <v>179272.7472577403</v>
      </c>
    </row>
    <row r="46" spans="1:41" s="37" customFormat="1" ht="15" customHeight="1" x14ac:dyDescent="0.35">
      <c r="B46" s="37" t="s">
        <v>78</v>
      </c>
      <c r="C46" s="38">
        <f t="shared" ref="C46:AO46" ca="1" si="15">IF(C$5=0,0,C45/C$5)</f>
        <v>8.1495999999999985E-2</v>
      </c>
      <c r="D46" s="38">
        <f t="shared" ca="1" si="15"/>
        <v>0.11166210361653045</v>
      </c>
      <c r="E46" s="38">
        <f t="shared" ca="1" si="15"/>
        <v>7.9919385054687153E-2</v>
      </c>
      <c r="F46" s="38">
        <f t="shared" ca="1" si="15"/>
        <v>-7.3559904282637492E-2</v>
      </c>
      <c r="G46" s="38">
        <f t="shared" ca="1" si="15"/>
        <v>5.0153195323737243E-2</v>
      </c>
      <c r="H46" s="38">
        <f t="shared" ca="1" si="15"/>
        <v>4.7168125939433272E-2</v>
      </c>
      <c r="I46" s="38">
        <f t="shared" ca="1" si="15"/>
        <v>8.9561099809865485E-2</v>
      </c>
      <c r="J46" s="38">
        <f t="shared" ca="1" si="15"/>
        <v>-4.2471431305609514E-2</v>
      </c>
      <c r="K46" s="38">
        <f t="shared" ca="1" si="15"/>
        <v>7.977126524995248E-3</v>
      </c>
      <c r="L46" s="38">
        <f t="shared" ca="1" si="15"/>
        <v>8.9300617664021351E-2</v>
      </c>
      <c r="M46" s="38">
        <f t="shared" ca="1" si="15"/>
        <v>0.10776459893137337</v>
      </c>
      <c r="N46" s="38">
        <f t="shared" ca="1" si="15"/>
        <v>8.9136781404135723E-2</v>
      </c>
      <c r="O46" s="38">
        <f t="shared" ca="1" si="15"/>
        <v>5.3882201653209484E-2</v>
      </c>
      <c r="P46" s="38">
        <f t="shared" ca="1" si="15"/>
        <v>8.3932608976283907E-2</v>
      </c>
      <c r="Q46" s="38">
        <f t="shared" ca="1" si="15"/>
        <v>1.3233841229836901E-2</v>
      </c>
      <c r="R46" s="38">
        <f t="shared" ca="1" si="15"/>
        <v>8.3042372422753363E-2</v>
      </c>
      <c r="S46" s="38">
        <f t="shared" ca="1" si="15"/>
        <v>5.5519065492823892E-2</v>
      </c>
      <c r="T46" s="38">
        <f t="shared" ca="1" si="15"/>
        <v>8.0249603609431744E-2</v>
      </c>
      <c r="U46" s="38">
        <f t="shared" ca="1" si="15"/>
        <v>-2.2289258470706105E-2</v>
      </c>
      <c r="V46" s="38">
        <f t="shared" ca="1" si="15"/>
        <v>7.0580667692471261E-2</v>
      </c>
      <c r="W46" s="38">
        <f t="shared" ca="1" si="15"/>
        <v>3.305063643172855E-2</v>
      </c>
      <c r="X46" s="38">
        <f t="shared" ca="1" si="15"/>
        <v>6.47701070645747E-2</v>
      </c>
      <c r="Y46" s="38">
        <f t="shared" ca="1" si="15"/>
        <v>-1.8568619496909116E-2</v>
      </c>
      <c r="Z46" s="38">
        <f t="shared" ca="1" si="15"/>
        <v>2.719406891459826E-2</v>
      </c>
      <c r="AA46" s="38">
        <f t="shared" ca="1" si="15"/>
        <v>9.794615874768467E-2</v>
      </c>
      <c r="AB46" s="38">
        <f t="shared" ca="1" si="15"/>
        <v>4.7819048519076694E-2</v>
      </c>
      <c r="AC46" s="38">
        <f t="shared" ca="1" si="15"/>
        <v>8.564448452600476E-2</v>
      </c>
      <c r="AD46" s="38">
        <f t="shared" ca="1" si="15"/>
        <v>-1.6312336641850507E-2</v>
      </c>
      <c r="AE46" s="38">
        <f t="shared" ca="1" si="15"/>
        <v>5.4223248436852063E-2</v>
      </c>
      <c r="AF46" s="38">
        <f t="shared" ca="1" si="15"/>
        <v>4.4485064221687916E-2</v>
      </c>
      <c r="AG46" s="38">
        <f t="shared" ca="1" si="15"/>
        <v>-0.10548228030194667</v>
      </c>
      <c r="AH46" s="38">
        <f t="shared" ca="1" si="15"/>
        <v>6.7648802067998698E-2</v>
      </c>
      <c r="AI46" s="38">
        <f t="shared" ca="1" si="15"/>
        <v>3.7704281908430538E-2</v>
      </c>
      <c r="AJ46" s="38">
        <f t="shared" ca="1" si="15"/>
        <v>7.7558216646513828E-2</v>
      </c>
      <c r="AK46" s="38">
        <f t="shared" ca="1" si="15"/>
        <v>3.3368939127013962E-2</v>
      </c>
      <c r="AL46" s="38">
        <f t="shared" ca="1" si="15"/>
        <v>6.7555420964780316E-2</v>
      </c>
      <c r="AM46" s="38">
        <f t="shared" ca="1" si="15"/>
        <v>6.0069807156131937E-2</v>
      </c>
      <c r="AN46" s="38">
        <f t="shared" ca="1" si="15"/>
        <v>6.8811765764259014E-2</v>
      </c>
      <c r="AO46" s="38">
        <f t="shared" ca="1" si="15"/>
        <v>3.9980541315285528E-2</v>
      </c>
    </row>
    <row r="47" spans="1:41" ht="15" customHeight="1" x14ac:dyDescent="0.3">
      <c r="C47" s="39"/>
      <c r="D47" s="39"/>
      <c r="E47" s="39"/>
      <c r="F47" s="39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</row>
    <row r="49" spans="1:41" s="41" customFormat="1" ht="15" customHeight="1" x14ac:dyDescent="0.35">
      <c r="B49" s="6" t="s">
        <v>62</v>
      </c>
      <c r="C49" s="42">
        <f t="shared" ref="C49:AO49" ca="1" si="16">IF(C42=0,0,C40/C42)</f>
        <v>4.5279653679653675</v>
      </c>
      <c r="D49" s="42">
        <f t="shared" ca="1" si="16"/>
        <v>6.5490886388081373</v>
      </c>
      <c r="E49" s="42">
        <f t="shared" ca="1" si="16"/>
        <v>4.7873138351422737</v>
      </c>
      <c r="F49" s="42">
        <f t="shared" ca="1" si="16"/>
        <v>-2.5440025102468895</v>
      </c>
      <c r="G49" s="42">
        <f t="shared" ca="1" si="16"/>
        <v>3.1239328482960742</v>
      </c>
      <c r="H49" s="42">
        <f t="shared" ca="1" si="16"/>
        <v>3.125109247242718</v>
      </c>
      <c r="I49" s="42">
        <f t="shared" ca="1" si="16"/>
        <v>5.0289524220744273</v>
      </c>
      <c r="J49" s="42">
        <f t="shared" ca="1" si="16"/>
        <v>-0.84630852420928226</v>
      </c>
      <c r="K49" s="42">
        <f t="shared" ca="1" si="16"/>
        <v>1.3754538472609465</v>
      </c>
      <c r="L49" s="42">
        <f t="shared" ca="1" si="16"/>
        <v>5.40107120177478</v>
      </c>
      <c r="M49" s="42">
        <f t="shared" ca="1" si="16"/>
        <v>6.3620640951028573</v>
      </c>
      <c r="N49" s="42">
        <f t="shared" ca="1" si="16"/>
        <v>5.2595282643558514</v>
      </c>
      <c r="O49" s="43">
        <f t="shared" ca="1" si="16"/>
        <v>3.5038401259790088</v>
      </c>
      <c r="P49" s="42">
        <f t="shared" ca="1" si="16"/>
        <v>5.603395080472489</v>
      </c>
      <c r="Q49" s="42">
        <f t="shared" ca="1" si="16"/>
        <v>1.6748935265415898</v>
      </c>
      <c r="R49" s="42">
        <f t="shared" ca="1" si="16"/>
        <v>5.6454661017309284</v>
      </c>
      <c r="S49" s="42">
        <f t="shared" ca="1" si="16"/>
        <v>3.9947699406956594</v>
      </c>
      <c r="T49" s="42">
        <f t="shared" ca="1" si="16"/>
        <v>5.3194555811218116</v>
      </c>
      <c r="U49" s="42">
        <f t="shared" ca="1" si="16"/>
        <v>-9.1597455945564982E-2</v>
      </c>
      <c r="V49" s="42">
        <f t="shared" ca="1" si="16"/>
        <v>4.5790666475035513</v>
      </c>
      <c r="W49" s="42">
        <f t="shared" ca="1" si="16"/>
        <v>2.8985399500715014</v>
      </c>
      <c r="X49" s="42">
        <f t="shared" ca="1" si="16"/>
        <v>4.6652439527736069</v>
      </c>
      <c r="Y49" s="42">
        <f t="shared" ca="1" si="16"/>
        <v>-0.14866332899214271</v>
      </c>
      <c r="Z49" s="42">
        <f t="shared" ca="1" si="16"/>
        <v>2.6943618951069532</v>
      </c>
      <c r="AA49" s="42">
        <f t="shared" ca="1" si="16"/>
        <v>7.1668754584997068</v>
      </c>
      <c r="AB49" s="43">
        <f t="shared" ca="1" si="16"/>
        <v>3.6634373983128632</v>
      </c>
      <c r="AC49" s="42">
        <f t="shared" ca="1" si="16"/>
        <v>6.6551671045020013</v>
      </c>
      <c r="AD49" s="42">
        <f t="shared" ca="1" si="16"/>
        <v>-0.12059123566146956</v>
      </c>
      <c r="AE49" s="42">
        <f t="shared" ca="1" si="16"/>
        <v>4.6180027315247267</v>
      </c>
      <c r="AF49" s="42">
        <f t="shared" ca="1" si="16"/>
        <v>4.225497096065169</v>
      </c>
      <c r="AG49" s="42">
        <f t="shared" ca="1" si="16"/>
        <v>-6.0492586990545218</v>
      </c>
      <c r="AH49" s="42">
        <f t="shared" ca="1" si="16"/>
        <v>5.8530504074057657</v>
      </c>
      <c r="AI49" s="42">
        <f t="shared" ca="1" si="16"/>
        <v>3.8347909735832384</v>
      </c>
      <c r="AJ49" s="42">
        <f t="shared" ca="1" si="16"/>
        <v>6.7294193596768119</v>
      </c>
      <c r="AK49" s="42">
        <f t="shared" ca="1" si="16"/>
        <v>3.5897597273491244</v>
      </c>
      <c r="AL49" s="42">
        <f t="shared" ca="1" si="16"/>
        <v>6.4690475004434971</v>
      </c>
      <c r="AM49" s="42">
        <f t="shared" ca="1" si="16"/>
        <v>5.6777376269774722</v>
      </c>
      <c r="AN49" s="42">
        <f t="shared" ca="1" si="16"/>
        <v>6.762323443609759</v>
      </c>
      <c r="AO49" s="43">
        <f t="shared" ca="1" si="16"/>
        <v>3.9268115519645708</v>
      </c>
    </row>
    <row r="50" spans="1:41" s="45" customFormat="1" ht="15" customHeight="1" x14ac:dyDescent="0.35">
      <c r="A50" s="6"/>
      <c r="B50" s="6" t="s">
        <v>66</v>
      </c>
      <c r="C50" s="44">
        <f ca="1">IF(SUM(BalanceSheet!C$13:C$14)=0,0,C45/SUM(BalanceSheet!C$13:C$14))</f>
        <v>0.96070541636540818</v>
      </c>
      <c r="D50" s="44">
        <f ca="1">IF(SUM(BalanceSheet!D$13:D$14)=0,0,D45/SUM(BalanceSheet!D$13:D$14))</f>
        <v>0.59868745041446392</v>
      </c>
      <c r="E50" s="44">
        <f ca="1">IF(SUM(BalanceSheet!E$13:E$14)=0,0,E45/SUM(BalanceSheet!E$13:E$14))</f>
        <v>0.28738896454695745</v>
      </c>
      <c r="F50" s="44">
        <f ca="1">IF(SUM(BalanceSheet!F$13:F$14)=0,0,F45/SUM(BalanceSheet!F$13:F$14))</f>
        <v>-0.35844538561939943</v>
      </c>
      <c r="G50" s="45">
        <f ca="1">IF(SUM(BalanceSheet!G$13:G$14)=0,0,G45/SUM(BalanceSheet!G$13:G$14))</f>
        <v>0.18844802565546714</v>
      </c>
      <c r="H50" s="45">
        <f ca="1">IF(SUM(BalanceSheet!H$13:H$14)=0,0,H45/SUM(BalanceSheet!H$13:H$14))</f>
        <v>0.1567927801868505</v>
      </c>
      <c r="I50" s="45">
        <f ca="1">IF(SUM(BalanceSheet!I$13:I$14)=0,0,I45/SUM(BalanceSheet!I$13:I$14))</f>
        <v>0.22664104008514643</v>
      </c>
      <c r="J50" s="45">
        <f ca="1">IF(SUM(BalanceSheet!J$13:J$14)=0,0,J45/SUM(BalanceSheet!J$13:J$14))</f>
        <v>-0.11403131523945628</v>
      </c>
      <c r="K50" s="45">
        <f ca="1">IF(SUM(BalanceSheet!K$13:K$14)=0,0,K45/SUM(BalanceSheet!K$13:K$14))</f>
        <v>2.2335329408931591E-2</v>
      </c>
      <c r="L50" s="45">
        <f ca="1">IF(SUM(BalanceSheet!L$13:L$14)=0,0,L45/SUM(BalanceSheet!L$13:L$14))</f>
        <v>0.20499158426366759</v>
      </c>
      <c r="M50" s="45">
        <f ca="1">IF(SUM(BalanceSheet!M$13:M$14)=0,0,M45/SUM(BalanceSheet!M$13:M$14))</f>
        <v>0.19735243249825238</v>
      </c>
      <c r="N50" s="45">
        <f ca="1">IF(SUM(BalanceSheet!N$13:N$14)=0,0,N45/SUM(BalanceSheet!N$13:N$14))</f>
        <v>0.1336594867996736</v>
      </c>
      <c r="O50" s="46">
        <f ca="1">IF(SUM(BalanceSheet!N$13:N$14)=0,0,O45/SUM(BalanceSheet!N$13:N$14))</f>
        <v>0.99274441546947645</v>
      </c>
      <c r="P50" s="45">
        <f ca="1">IF(SUM(BalanceSheet!O$13:O$14)=0,0,P45/SUM(BalanceSheet!O$13:O$14))</f>
        <v>0.12441637544996667</v>
      </c>
      <c r="Q50" s="45">
        <f ca="1">IF(SUM(BalanceSheet!P$13:P$14)=0,0,Q45/SUM(BalanceSheet!P$13:P$14))</f>
        <v>1.7619533053848505E-2</v>
      </c>
      <c r="R50" s="45">
        <f ca="1">IF(SUM(BalanceSheet!Q$13:Q$14)=0,0,R45/SUM(BalanceSheet!Q$13:Q$14))</f>
        <v>0.10650488371009971</v>
      </c>
      <c r="S50" s="45">
        <f ca="1">IF(SUM(BalanceSheet!R$13:R$14)=0,0,S45/SUM(BalanceSheet!R$13:R$14))</f>
        <v>6.8088060698934222E-2</v>
      </c>
      <c r="T50" s="45">
        <f ca="1">IF(SUM(BalanceSheet!S$13:S$14)=0,0,T45/SUM(BalanceSheet!S$13:S$14))</f>
        <v>8.7983386777814129E-2</v>
      </c>
      <c r="U50" s="45">
        <f ca="1">IF(SUM(BalanceSheet!T$13:T$14)=0,0,U45/SUM(BalanceSheet!T$13:T$14))</f>
        <v>-2.2318859150738418E-2</v>
      </c>
      <c r="V50" s="45">
        <f ca="1">IF(SUM(BalanceSheet!U$13:U$14)=0,0,V45/SUM(BalanceSheet!U$13:U$14))</f>
        <v>6.7002567091142329E-2</v>
      </c>
      <c r="W50" s="45">
        <f ca="1">IF(SUM(BalanceSheet!V$13:V$14)=0,0,W45/SUM(BalanceSheet!V$13:V$14))</f>
        <v>3.3686886283151779E-2</v>
      </c>
      <c r="X50" s="45">
        <f ca="1">IF(SUM(BalanceSheet!W$13:W$14)=0,0,X45/SUM(BalanceSheet!W$13:W$14))</f>
        <v>5.9932624416333409E-2</v>
      </c>
      <c r="Y50" s="45">
        <f ca="1">IF(SUM(BalanceSheet!X$13:X$14)=0,0,Y45/SUM(BalanceSheet!X$13:X$14))</f>
        <v>-1.8746768304706715E-2</v>
      </c>
      <c r="Z50" s="45">
        <f ca="1">IF(SUM(BalanceSheet!Y$13:Y$14)=0,0,Z45/SUM(BalanceSheet!Y$13:Y$14))</f>
        <v>2.6361987841215139E-2</v>
      </c>
      <c r="AA50" s="45">
        <f ca="1">IF(SUM(BalanceSheet!Z$13:Z$14)=0,0,AA45/SUM(BalanceSheet!Z$13:Z$14))</f>
        <v>8.5827418637673028E-2</v>
      </c>
      <c r="AB50" s="46">
        <f ca="1">IF(SUM(BalanceSheet!Z$13:Z$14)=0,0,AB45/SUM(BalanceSheet!Z$13:Z$14))</f>
        <v>0.4868045588395033</v>
      </c>
      <c r="AC50" s="45">
        <f ca="1">IF(SUM(BalanceSheet!AA$13:AA$14)=0,0,AC45/SUM(BalanceSheet!AA$13:AA$14))</f>
        <v>7.1461453383186893E-2</v>
      </c>
      <c r="AD50" s="45">
        <f ca="1">IF(SUM(BalanceSheet!AB$13:AB$14)=0,0,AD45/SUM(BalanceSheet!AB$13:AB$14))</f>
        <v>-1.4030687985865835E-2</v>
      </c>
      <c r="AE50" s="45">
        <f ca="1">IF(SUM(BalanceSheet!AC$13:AC$14)=0,0,AE45/SUM(BalanceSheet!AC$13:AC$14))</f>
        <v>4.2357408830577779E-2</v>
      </c>
      <c r="AF50" s="45">
        <f ca="1">IF(SUM(BalanceSheet!AD$13:AD$14)=0,0,AF45/SUM(BalanceSheet!AD$13:AD$14))</f>
        <v>3.5532200515930167E-2</v>
      </c>
      <c r="AG50" s="45">
        <f ca="1">IF(SUM(BalanceSheet!AE$13:AE$14)=0,0,AG45/SUM(BalanceSheet!AE$13:AE$14))</f>
        <v>-9.0378318947769501E-2</v>
      </c>
      <c r="AH50" s="45">
        <f ca="1">IF(SUM(BalanceSheet!AF$13:AF$14)=0,0,AH45/SUM(BalanceSheet!AF$13:AF$14))</f>
        <v>5.7199006233590199E-2</v>
      </c>
      <c r="AI50" s="45">
        <f ca="1">IF(SUM(BalanceSheet!AG$13:AG$14)=0,0,AI45/SUM(BalanceSheet!AG$13:AG$14))</f>
        <v>3.1523382546249833E-2</v>
      </c>
      <c r="AJ50" s="45">
        <f ca="1">IF(SUM(BalanceSheet!AH$13:AH$14)=0,0,AJ45/SUM(BalanceSheet!AH$13:AH$14))</f>
        <v>5.8389478204624763E-2</v>
      </c>
      <c r="AK50" s="45">
        <f ca="1">IF(SUM(BalanceSheet!AI$13:AI$14)=0,0,AK45/SUM(BalanceSheet!AI$13:AI$14))</f>
        <v>2.5019901019255119E-2</v>
      </c>
      <c r="AL50" s="45">
        <f ca="1">IF(SUM(BalanceSheet!AJ$13:AJ$14)=0,0,AL45/SUM(BalanceSheet!AJ$13:AJ$14))</f>
        <v>4.8814168680119598E-2</v>
      </c>
      <c r="AM50" s="45">
        <f ca="1">IF(SUM(BalanceSheet!AK$13:AK$14)=0,0,AM45/SUM(BalanceSheet!AK$13:AK$14))</f>
        <v>4.045910685144085E-2</v>
      </c>
      <c r="AN50" s="45">
        <f ca="1">IF(SUM(BalanceSheet!AL$13:AL$14)=0,0,AN45/SUM(BalanceSheet!AL$13:AL$14))</f>
        <v>4.6101790656377685E-2</v>
      </c>
      <c r="AO50" s="46">
        <f ca="1">IF(SUM(BalanceSheet!AL$13:AL$14)=0,0,AO45/SUM(BalanceSheet!AL$13:AL$14))</f>
        <v>0.30796740870666489</v>
      </c>
    </row>
    <row r="51" spans="1:41" s="45" customFormat="1" ht="15" customHeight="1" x14ac:dyDescent="0.35">
      <c r="A51" s="6"/>
      <c r="B51" s="6" t="s">
        <v>67</v>
      </c>
      <c r="C51" s="44">
        <f ca="1">IF(BalanceSheet!C11-SUM(BalanceSheet!C17:C18)=0,0,C45/(BalanceSheet!C11-SUM(BalanceSheet!C17:C18)))</f>
        <v>2.1997596601113133E-2</v>
      </c>
      <c r="D51" s="44">
        <f ca="1">IF(BalanceSheet!D11-SUM(BalanceSheet!D17:D18)=0,0,D45/(BalanceSheet!D11-SUM(BalanceSheet!D17:D18)))</f>
        <v>3.3441936939071527E-2</v>
      </c>
      <c r="E51" s="44">
        <f ca="1">IF(BalanceSheet!E11-SUM(BalanceSheet!E17:E18)=0,0,E45/(BalanceSheet!E11-SUM(BalanceSheet!E17:E18)))</f>
        <v>2.2305077514001397E-2</v>
      </c>
      <c r="F51" s="44">
        <f ca="1">IF(BalanceSheet!F11-SUM(BalanceSheet!F17:F18)=0,0,F45/(BalanceSheet!F11-SUM(BalanceSheet!F17:F18)))</f>
        <v>-2.1290721370685235E-2</v>
      </c>
      <c r="G51" s="44">
        <f ca="1">IF(BalanceSheet!G11-SUM(BalanceSheet!G17:G18)=0,0,G45/(BalanceSheet!G11-SUM(BalanceSheet!G17:G18)))</f>
        <v>1.2656890875037146E-2</v>
      </c>
      <c r="H51" s="44">
        <f ca="1">IF(BalanceSheet!H11-SUM(BalanceSheet!H17:H18)=0,0,H45/(BalanceSheet!H11-SUM(BalanceSheet!H17:H18)))</f>
        <v>1.2497612171970837E-2</v>
      </c>
      <c r="I51" s="44">
        <f ca="1">IF(BalanceSheet!I11-SUM(BalanceSheet!I17:I18)=0,0,I45/(BalanceSheet!I11-SUM(BalanceSheet!I17:I18)))</f>
        <v>2.3126673172221921E-2</v>
      </c>
      <c r="J51" s="44">
        <f ca="1">IF(BalanceSheet!J11-SUM(BalanceSheet!J17:J18)=0,0,J45/(BalanceSheet!J11-SUM(BalanceSheet!J17:J18)))</f>
        <v>-1.0698724092974139E-2</v>
      </c>
      <c r="K51" s="44">
        <f ca="1">IF(BalanceSheet!K11-SUM(BalanceSheet!K17:K18)=0,0,K45/(BalanceSheet!K11-SUM(BalanceSheet!K17:K18)))</f>
        <v>2.1685578723704075E-3</v>
      </c>
      <c r="L51" s="44">
        <f ca="1">IF(BalanceSheet!L11-SUM(BalanceSheet!L17:L18)=0,0,L45/(BalanceSheet!L11-SUM(BalanceSheet!L17:L18)))</f>
        <v>2.4761765507783105E-2</v>
      </c>
      <c r="M51" s="44">
        <f ca="1">IF(BalanceSheet!M11-SUM(BalanceSheet!M17:M18)=0,0,M45/(BalanceSheet!M11-SUM(BalanceSheet!M17:M18)))</f>
        <v>2.9240765806096497E-2</v>
      </c>
      <c r="N51" s="44">
        <f ca="1">IF(BalanceSheet!N11-SUM(BalanceSheet!N17:N18)=0,0,N45/(BalanceSheet!N11-SUM(BalanceSheet!N17:N18)))</f>
        <v>2.2655665063432185E-2</v>
      </c>
      <c r="O51" s="47">
        <f ca="1">IF(BalanceSheet!N11-SUM(BalanceSheet!N17:N18)=0,0,O45/(BalanceSheet!N11-SUM(BalanceSheet!N17:N18)))</f>
        <v>0.16827301607239262</v>
      </c>
      <c r="P51" s="44">
        <f ca="1">IF(BalanceSheet!O11-SUM(BalanceSheet!O17:O18)=0,0,P45/(BalanceSheet!O11-SUM(BalanceSheet!O17:O18)))</f>
        <v>2.3842257241474003E-2</v>
      </c>
      <c r="Q51" s="44">
        <f ca="1">IF(BalanceSheet!P11-SUM(BalanceSheet!P17:P18)=0,0,Q45/(BalanceSheet!P11-SUM(BalanceSheet!P17:P18)))</f>
        <v>3.47324232453128E-3</v>
      </c>
      <c r="R51" s="44">
        <f ca="1">IF(BalanceSheet!Q11-SUM(BalanceSheet!Q17:Q18)=0,0,R45/(BalanceSheet!Q11-SUM(BalanceSheet!Q17:Q18)))</f>
        <v>2.32792167443895E-2</v>
      </c>
      <c r="S51" s="44">
        <f ca="1">IF(BalanceSheet!R11-SUM(BalanceSheet!R17:R18)=0,0,S45/(BalanceSheet!R11-SUM(BalanceSheet!R17:R18)))</f>
        <v>1.498054522797756E-2</v>
      </c>
      <c r="T51" s="44">
        <f ca="1">IF(BalanceSheet!S11-SUM(BalanceSheet!S17:S18)=0,0,T45/(BalanceSheet!S11-SUM(BalanceSheet!S17:S18)))</f>
        <v>2.1076122642551261E-2</v>
      </c>
      <c r="U51" s="44">
        <f ca="1">IF(BalanceSheet!T11-SUM(BalanceSheet!T17:T18)=0,0,U45/(BalanceSheet!T11-SUM(BalanceSheet!T17:T18)))</f>
        <v>-5.3331427678813496E-3</v>
      </c>
      <c r="V51" s="44">
        <f ca="1">IF(BalanceSheet!U11-SUM(BalanceSheet!U17:U18)=0,0,V45/(BalanceSheet!U11-SUM(BalanceSheet!U17:U18)))</f>
        <v>1.7115959916785602E-2</v>
      </c>
      <c r="W51" s="44">
        <f ca="1">IF(BalanceSheet!V11-SUM(BalanceSheet!V17:V18)=0,0,W45/(BalanceSheet!V11-SUM(BalanceSheet!V17:V18)))</f>
        <v>8.9569798005576847E-3</v>
      </c>
      <c r="X51" s="44">
        <f ca="1">IF(BalanceSheet!W11-SUM(BalanceSheet!W17:W18)=0,0,X45/(BalanceSheet!W11-SUM(BalanceSheet!W17:W18)))</f>
        <v>1.6916329590340291E-2</v>
      </c>
      <c r="Y51" s="44">
        <f ca="1">IF(BalanceSheet!X11-SUM(BalanceSheet!X17:X18)=0,0,Y45/(BalanceSheet!X11-SUM(BalanceSheet!X17:X18)))</f>
        <v>-5.3009466856058854E-3</v>
      </c>
      <c r="Z51" s="44">
        <f ca="1">IF(BalanceSheet!Y11-SUM(BalanceSheet!Y17:Y18)=0,0,Z45/(BalanceSheet!Y11-SUM(BalanceSheet!Y17:Y18)))</f>
        <v>7.7160131399528487E-3</v>
      </c>
      <c r="AA51" s="44">
        <f ca="1">IF(BalanceSheet!Z11-SUM(BalanceSheet!Z17:Z18)=0,0,AA45/(BalanceSheet!Z11-SUM(BalanceSheet!Z17:Z18)))</f>
        <v>2.7159200563850943E-2</v>
      </c>
      <c r="AB51" s="47">
        <f ca="1">IF(BalanceSheet!Z11-SUM(BalanceSheet!Z17:Z18)=0,0,AB45/(BalanceSheet!Z11-SUM(BalanceSheet!Z17:Z18)))</f>
        <v>0.15404427697789028</v>
      </c>
      <c r="AC51" s="44">
        <f ca="1">IF(BalanceSheet!AA11-SUM(BalanceSheet!AA17:AA18)=0,0,AC45/(BalanceSheet!AA11-SUM(BalanceSheet!AA17:AA18)))</f>
        <v>2.4142970890034372E-2</v>
      </c>
      <c r="AD51" s="44">
        <f ca="1">IF(BalanceSheet!AB11-SUM(BalanceSheet!AB17:AB18)=0,0,AD45/(BalanceSheet!AB11-SUM(BalanceSheet!AB17:AB18)))</f>
        <v>-4.7715107418442957E-3</v>
      </c>
      <c r="AE51" s="44">
        <f ca="1">IF(BalanceSheet!AC11-SUM(BalanceSheet!AC17:AC18)=0,0,AE45/(BalanceSheet!AC11-SUM(BalanceSheet!AC17:AC18)))</f>
        <v>1.5057749333119737E-2</v>
      </c>
      <c r="AF51" s="44">
        <f ca="1">IF(BalanceSheet!AD11-SUM(BalanceSheet!AD17:AD18)=0,0,AF45/(BalanceSheet!AD11-SUM(BalanceSheet!AD17:AD18)))</f>
        <v>1.3138249477198292E-2</v>
      </c>
      <c r="AG51" s="44">
        <f ca="1">IF(BalanceSheet!AE11-SUM(BalanceSheet!AE17:AE18)=0,0,AG45/(BalanceSheet!AE11-SUM(BalanceSheet!AE17:AE18)))</f>
        <v>-3.0284328269649902E-2</v>
      </c>
      <c r="AH51" s="44">
        <f ca="1">IF(BalanceSheet!AF11-SUM(BalanceSheet!AF17:AF18)=0,0,AH45/(BalanceSheet!AF11-SUM(BalanceSheet!AF17:AF18)))</f>
        <v>2.0264931549730272E-2</v>
      </c>
      <c r="AI51" s="44">
        <f ca="1">IF(BalanceSheet!AG11-SUM(BalanceSheet!AG17:AG18)=0,0,AI45/(BalanceSheet!AG11-SUM(BalanceSheet!AG17:AG18)))</f>
        <v>1.1598192989067575E-2</v>
      </c>
      <c r="AJ51" s="44">
        <f ca="1">IF(BalanceSheet!AH11-SUM(BalanceSheet!AH17:AH18)=0,0,AJ45/(BalanceSheet!AH11-SUM(BalanceSheet!AH17:AH18)))</f>
        <v>2.2694394212291358E-2</v>
      </c>
      <c r="AK51" s="44">
        <f ca="1">IF(BalanceSheet!AI11-SUM(BalanceSheet!AI17:AI18)=0,0,AK45/(BalanceSheet!AI11-SUM(BalanceSheet!AI17:AI18)))</f>
        <v>1.0050340423867267E-2</v>
      </c>
      <c r="AL51" s="44">
        <f ca="1">IF(BalanceSheet!AJ11-SUM(BalanceSheet!AJ17:AJ18)=0,0,AL45/(BalanceSheet!AJ11-SUM(BalanceSheet!AJ17:AJ18)))</f>
        <v>2.0557776904845518E-2</v>
      </c>
      <c r="AM51" s="44">
        <f ca="1">IF(BalanceSheet!AK11-SUM(BalanceSheet!AK17:AK18)=0,0,AM45/(BalanceSheet!AK11-SUM(BalanceSheet!AK17:AK18)))</f>
        <v>1.7354703045430488E-2</v>
      </c>
      <c r="AN51" s="44">
        <f ca="1">IF(BalanceSheet!AL11-SUM(BalanceSheet!AL17:AL18)=0,0,AN45/(BalanceSheet!AL11-SUM(BalanceSheet!AL17:AL18)))</f>
        <v>2.0674357258569743E-2</v>
      </c>
      <c r="AO51" s="47">
        <f ca="1">IF(BalanceSheet!AL11-SUM(BalanceSheet!AL17:AL18)=0,0,AO45/(BalanceSheet!AL11-SUM(BalanceSheet!AL17:AL18)))</f>
        <v>0.13810804615062697</v>
      </c>
    </row>
    <row r="54" spans="1:41" s="48" customFormat="1" ht="15" customHeight="1" x14ac:dyDescent="0.3">
      <c r="B54" s="49"/>
    </row>
    <row r="59" spans="1:41" s="48" customFormat="1" ht="15" customHeight="1" x14ac:dyDescent="0.3">
      <c r="B59" s="49"/>
    </row>
    <row r="60" spans="1:41" s="48" customFormat="1" ht="15" customHeight="1" x14ac:dyDescent="0.3">
      <c r="B60" s="49"/>
    </row>
    <row r="75" spans="2:2" s="48" customFormat="1" ht="15" customHeight="1" x14ac:dyDescent="0.3">
      <c r="B75" s="49"/>
    </row>
  </sheetData>
  <phoneticPr fontId="3" type="noConversion"/>
  <pageMargins left="0.55118110236220474" right="0.55118110236220474" top="0.59055118110236227" bottom="0.59055118110236227" header="0.39370078740157483" footer="0.39370078740157483"/>
  <pageSetup paperSize="9" scale="65" fitToWidth="3" orientation="landscape" r:id="rId1"/>
  <headerFooter alignWithMargins="0">
    <oddFooter>&amp;C&amp;9Page &amp;P of &amp;N</oddFooter>
  </headerFooter>
  <colBreaks count="2" manualBreakCount="2">
    <brk id="15" max="63" man="1"/>
    <brk id="28" max="63" man="1"/>
  </colBreaks>
  <ignoredErrors>
    <ignoredError sqref="O7 O9 AB7 AB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5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ColWidth="9.1328125" defaultRowHeight="15" customHeight="1" x14ac:dyDescent="0.3"/>
  <cols>
    <col min="1" max="1" width="3.73046875" style="5" customWidth="1"/>
    <col min="2" max="2" width="39.73046875" style="5" customWidth="1"/>
    <col min="3" max="14" width="12.73046875" style="62" customWidth="1"/>
    <col min="15" max="15" width="13.73046875" style="62" customWidth="1"/>
    <col min="16" max="27" width="12.73046875" style="62" customWidth="1"/>
    <col min="28" max="28" width="13.73046875" style="62" customWidth="1"/>
    <col min="29" max="40" width="12.73046875" style="62" customWidth="1"/>
    <col min="41" max="41" width="13.73046875" style="62" customWidth="1"/>
    <col min="42" max="47" width="9.1328125" style="5" customWidth="1"/>
    <col min="48" max="16384" width="9.1328125" style="5"/>
  </cols>
  <sheetData>
    <row r="1" spans="2:41" x14ac:dyDescent="0.4">
      <c r="B1" s="1" t="str">
        <f>Assumptions!$B$4</f>
        <v>Example Trading Limited</v>
      </c>
      <c r="C1" s="8"/>
      <c r="D1" s="8"/>
      <c r="E1" s="8"/>
      <c r="F1" s="8"/>
    </row>
    <row r="2" spans="2:41" ht="15" customHeight="1" x14ac:dyDescent="0.35">
      <c r="B2" s="6" t="s">
        <v>80</v>
      </c>
      <c r="C2" s="8"/>
      <c r="D2" s="8"/>
      <c r="E2" s="8"/>
      <c r="F2" s="8"/>
    </row>
    <row r="3" spans="2:41" ht="15" customHeight="1" x14ac:dyDescent="0.35">
      <c r="B3" s="20" t="s">
        <v>71</v>
      </c>
      <c r="C3" s="8"/>
      <c r="D3" s="8"/>
      <c r="E3" s="8"/>
      <c r="F3" s="8"/>
    </row>
    <row r="4" spans="2:41" s="21" customFormat="1" ht="18" customHeight="1" x14ac:dyDescent="0.35">
      <c r="B4" s="22"/>
      <c r="C4" s="23">
        <f ca="1">IF(ISBLANK(Assumptions!$B$5)=TRUE,DATE(YEAR(TODAY()),MONTH(TODAY())+1,0),DATE(YEAR(Assumptions!$B$5),MONTH(Assumptions!$B$5)+1,0))</f>
        <v>42460</v>
      </c>
      <c r="D4" s="23">
        <f ca="1">DATE(YEAR(C4),MONTH(C4)+2,0)</f>
        <v>42490</v>
      </c>
      <c r="E4" s="23">
        <f t="shared" ref="E4:M4" ca="1" si="0">DATE(YEAR(D4),MONTH(D4)+2,0)</f>
        <v>42521</v>
      </c>
      <c r="F4" s="23">
        <f t="shared" ca="1" si="0"/>
        <v>42551</v>
      </c>
      <c r="G4" s="23">
        <f t="shared" ca="1" si="0"/>
        <v>42582</v>
      </c>
      <c r="H4" s="23">
        <f t="shared" ca="1" si="0"/>
        <v>42613</v>
      </c>
      <c r="I4" s="23">
        <f t="shared" ca="1" si="0"/>
        <v>42643</v>
      </c>
      <c r="J4" s="23">
        <f t="shared" ca="1" si="0"/>
        <v>42674</v>
      </c>
      <c r="K4" s="23">
        <f t="shared" ca="1" si="0"/>
        <v>42704</v>
      </c>
      <c r="L4" s="23">
        <f t="shared" ca="1" si="0"/>
        <v>42735</v>
      </c>
      <c r="M4" s="23">
        <f t="shared" ca="1" si="0"/>
        <v>42766</v>
      </c>
      <c r="N4" s="23">
        <f ca="1">DATE(YEAR(M4),MONTH(M4)+2,0)</f>
        <v>42794</v>
      </c>
      <c r="O4" s="64" t="str">
        <f ca="1">"Year-"&amp;YEAR(N4)</f>
        <v>Year-2017</v>
      </c>
      <c r="P4" s="23">
        <f ca="1">DATE(YEAR(N4),MONTH(N4)+2,0)</f>
        <v>42825</v>
      </c>
      <c r="Q4" s="23">
        <f t="shared" ref="Q4:AA4" ca="1" si="1">DATE(YEAR(P4),MONTH(P4)+2,0)</f>
        <v>42855</v>
      </c>
      <c r="R4" s="23">
        <f t="shared" ca="1" si="1"/>
        <v>42886</v>
      </c>
      <c r="S4" s="23">
        <f t="shared" ca="1" si="1"/>
        <v>42916</v>
      </c>
      <c r="T4" s="23">
        <f t="shared" ca="1" si="1"/>
        <v>42947</v>
      </c>
      <c r="U4" s="23">
        <f t="shared" ca="1" si="1"/>
        <v>42978</v>
      </c>
      <c r="V4" s="23">
        <f t="shared" ca="1" si="1"/>
        <v>43008</v>
      </c>
      <c r="W4" s="23">
        <f t="shared" ca="1" si="1"/>
        <v>43039</v>
      </c>
      <c r="X4" s="23">
        <f t="shared" ca="1" si="1"/>
        <v>43069</v>
      </c>
      <c r="Y4" s="23">
        <f t="shared" ca="1" si="1"/>
        <v>43100</v>
      </c>
      <c r="Z4" s="23">
        <f t="shared" ca="1" si="1"/>
        <v>43131</v>
      </c>
      <c r="AA4" s="23">
        <f t="shared" ca="1" si="1"/>
        <v>43159</v>
      </c>
      <c r="AB4" s="64" t="str">
        <f ca="1">"Year-"&amp;YEAR(AA4)</f>
        <v>Year-2018</v>
      </c>
      <c r="AC4" s="23">
        <f ca="1">DATE(YEAR(AA4),MONTH(AA4)+2,0)</f>
        <v>43190</v>
      </c>
      <c r="AD4" s="23">
        <f t="shared" ref="AD4:AN4" ca="1" si="2">DATE(YEAR(AC4),MONTH(AC4)+2,0)</f>
        <v>43220</v>
      </c>
      <c r="AE4" s="23">
        <f t="shared" ca="1" si="2"/>
        <v>43251</v>
      </c>
      <c r="AF4" s="23">
        <f t="shared" ca="1" si="2"/>
        <v>43281</v>
      </c>
      <c r="AG4" s="23">
        <f t="shared" ca="1" si="2"/>
        <v>43312</v>
      </c>
      <c r="AH4" s="23">
        <f t="shared" ca="1" si="2"/>
        <v>43343</v>
      </c>
      <c r="AI4" s="23">
        <f t="shared" ca="1" si="2"/>
        <v>43373</v>
      </c>
      <c r="AJ4" s="23">
        <f t="shared" ca="1" si="2"/>
        <v>43404</v>
      </c>
      <c r="AK4" s="23">
        <f t="shared" ca="1" si="2"/>
        <v>43434</v>
      </c>
      <c r="AL4" s="23">
        <f t="shared" ca="1" si="2"/>
        <v>43465</v>
      </c>
      <c r="AM4" s="23">
        <f t="shared" ca="1" si="2"/>
        <v>43496</v>
      </c>
      <c r="AN4" s="23">
        <f t="shared" ca="1" si="2"/>
        <v>43524</v>
      </c>
      <c r="AO4" s="64" t="str">
        <f ca="1">"Year-"&amp;YEAR(AN4)</f>
        <v>Year-2019</v>
      </c>
    </row>
    <row r="5" spans="2:41" ht="15" customHeight="1" x14ac:dyDescent="0.35">
      <c r="B5" s="11" t="s">
        <v>82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</row>
    <row r="6" spans="2:41" s="8" customFormat="1" ht="15" customHeight="1" x14ac:dyDescent="0.3">
      <c r="B6" s="29" t="s">
        <v>77</v>
      </c>
      <c r="C6" s="30">
        <f ca="1">IncState!C45</f>
        <v>24448.799999999996</v>
      </c>
      <c r="D6" s="30">
        <f ca="1">IncState!D45</f>
        <v>37965.115229620351</v>
      </c>
      <c r="E6" s="30">
        <f ca="1">IncState!E45</f>
        <v>25574.203217499889</v>
      </c>
      <c r="F6" s="30">
        <f ca="1">IncState!F45</f>
        <v>-23612.729274726637</v>
      </c>
      <c r="G6" s="30">
        <f ca="1">IncState!G45</f>
        <v>15296.724573739859</v>
      </c>
      <c r="H6" s="30">
        <f ca="1">IncState!H45</f>
        <v>15093.800300618648</v>
      </c>
      <c r="I6" s="30">
        <f ca="1">IncState!I45</f>
        <v>28211.746440107629</v>
      </c>
      <c r="J6" s="30">
        <f ca="1">IncState!J45</f>
        <v>-12741.429391682854</v>
      </c>
      <c r="K6" s="30">
        <f ca="1">IncState!K45</f>
        <v>2552.6804879984793</v>
      </c>
      <c r="L6" s="30">
        <f ca="1">IncState!L45</f>
        <v>29469.203829127044</v>
      </c>
      <c r="M6" s="30">
        <f ca="1">IncState!M45</f>
        <v>35346.788449490465</v>
      </c>
      <c r="N6" s="30">
        <f ca="1">IncState!N45</f>
        <v>27632.402235282076</v>
      </c>
      <c r="O6" s="30">
        <f ca="1">SUM(C6:N6)</f>
        <v>205237.30609707499</v>
      </c>
      <c r="P6" s="30">
        <f ca="1">IncState!P45</f>
        <v>29376.41314169937</v>
      </c>
      <c r="Q6" s="30">
        <f ca="1">IncState!Q45</f>
        <v>4234.8291935478082</v>
      </c>
      <c r="R6" s="30">
        <f ca="1">IncState!R45</f>
        <v>28649.618485849911</v>
      </c>
      <c r="S6" s="30">
        <f ca="1">IncState!S45</f>
        <v>19653.749184459659</v>
      </c>
      <c r="T6" s="30">
        <f ca="1">IncState!T45</f>
        <v>27846.612452472815</v>
      </c>
      <c r="U6" s="30">
        <f ca="1">IncState!U45</f>
        <v>-6909.6701259188922</v>
      </c>
      <c r="V6" s="30">
        <f ca="1">IncState!V45</f>
        <v>22232.910323128446</v>
      </c>
      <c r="W6" s="30">
        <f ca="1">IncState!W45</f>
        <v>11567.722751104993</v>
      </c>
      <c r="X6" s="30">
        <f ca="1">IncState!X45</f>
        <v>21892.29618782625</v>
      </c>
      <c r="Y6" s="30">
        <f ca="1">IncState!Y45</f>
        <v>-6721.8402578811001</v>
      </c>
      <c r="Z6" s="30">
        <f ca="1">IncState!Z45</f>
        <v>9708.2826025115792</v>
      </c>
      <c r="AA6" s="30">
        <f ca="1">IncState!AA45</f>
        <v>34574.994037932687</v>
      </c>
      <c r="AB6" s="30">
        <f ca="1">SUM(P6:AA6)</f>
        <v>196105.91797673356</v>
      </c>
      <c r="AC6" s="30">
        <f ca="1">IncState!AC45</f>
        <v>31003.303398413722</v>
      </c>
      <c r="AD6" s="30">
        <f ca="1">IncState!AD45</f>
        <v>-6002.9398842009869</v>
      </c>
      <c r="AE6" s="30">
        <f ca="1">IncState!AE45</f>
        <v>18923.913704461371</v>
      </c>
      <c r="AF6" s="30">
        <f ca="1">IncState!AF45</f>
        <v>16459.473762024529</v>
      </c>
      <c r="AG6" s="30">
        <f ca="1">IncState!AG45</f>
        <v>-38395.550029908591</v>
      </c>
      <c r="AH6" s="30">
        <f ca="1">IncState!AH45</f>
        <v>25774.193587907503</v>
      </c>
      <c r="AI6" s="30">
        <f ca="1">IncState!AI45</f>
        <v>14666.96566237948</v>
      </c>
      <c r="AJ6" s="30">
        <f ca="1">IncState!AJ45</f>
        <v>28851.656592503146</v>
      </c>
      <c r="AK6" s="30">
        <f ca="1">IncState!AK45</f>
        <v>12680.196868265306</v>
      </c>
      <c r="AL6" s="30">
        <f ca="1">IncState!AL45</f>
        <v>26008.837071440423</v>
      </c>
      <c r="AM6" s="30">
        <f ca="1">IncState!AM45</f>
        <v>22466.107876393344</v>
      </c>
      <c r="AN6" s="30">
        <f ca="1">IncState!AN45</f>
        <v>26836.588648061013</v>
      </c>
      <c r="AO6" s="30">
        <f ca="1">SUM(AC6:AN6)</f>
        <v>179272.74725774024</v>
      </c>
    </row>
    <row r="7" spans="2:41" s="8" customFormat="1" ht="15" customHeight="1" x14ac:dyDescent="0.3">
      <c r="B7" s="29" t="s">
        <v>49</v>
      </c>
      <c r="C7" s="30">
        <f ca="1">IncState!C42</f>
        <v>9625</v>
      </c>
      <c r="D7" s="30">
        <f ca="1">IncState!D42</f>
        <v>9502.3399588606189</v>
      </c>
      <c r="E7" s="30">
        <f ca="1">IncState!E42</f>
        <v>9378.6066423612701</v>
      </c>
      <c r="F7" s="30">
        <f ca="1">IncState!F42</f>
        <v>9253.7906593425487</v>
      </c>
      <c r="G7" s="30">
        <f ca="1">IncState!G42</f>
        <v>10002.882536472416</v>
      </c>
      <c r="H7" s="30">
        <f ca="1">IncState!H42</f>
        <v>9864.7218046963171</v>
      </c>
      <c r="I7" s="30">
        <f ca="1">IncState!I42</f>
        <v>9725.3521665171775</v>
      </c>
      <c r="J7" s="30">
        <f ca="1">IncState!J42</f>
        <v>9584.7630440039684</v>
      </c>
      <c r="K7" s="30">
        <f ca="1">IncState!K42</f>
        <v>9442.94376666877</v>
      </c>
      <c r="L7" s="30">
        <f ca="1">IncState!L42</f>
        <v>9299.8835706568898</v>
      </c>
      <c r="M7" s="30">
        <f ca="1">IncState!M42</f>
        <v>9155.5715979299039</v>
      </c>
      <c r="N7" s="30">
        <f ca="1">IncState!N42</f>
        <v>9009.9968954415563</v>
      </c>
      <c r="O7" s="30">
        <f ca="1">SUM(C7:N7)</f>
        <v>113845.85264295143</v>
      </c>
      <c r="P7" s="30">
        <f ca="1">IncState!P42</f>
        <v>8863.1484143064354</v>
      </c>
      <c r="Q7" s="30">
        <f ca="1">IncState!Q42</f>
        <v>8715.0150089613835</v>
      </c>
      <c r="R7" s="30">
        <f ca="1">IncState!R42</f>
        <v>8565.5854363195631</v>
      </c>
      <c r="S7" s="30">
        <f ca="1">IncState!S42</f>
        <v>9114.8483549171269</v>
      </c>
      <c r="T7" s="30">
        <f ca="1">IncState!T42</f>
        <v>8953.871593787735</v>
      </c>
      <c r="U7" s="30">
        <f ca="1">IncState!U42</f>
        <v>8791.4862859984623</v>
      </c>
      <c r="V7" s="30">
        <f ca="1">IncState!V42</f>
        <v>8627.6801067660326</v>
      </c>
      <c r="W7" s="30">
        <f ca="1">IncState!W42</f>
        <v>8462.4406234653216</v>
      </c>
      <c r="X7" s="30">
        <f ca="1">IncState!X42</f>
        <v>8295.7552946857268</v>
      </c>
      <c r="Y7" s="30">
        <f ca="1">IncState!Y42</f>
        <v>8127.6114692793117</v>
      </c>
      <c r="Z7" s="30">
        <f ca="1">IncState!Z42</f>
        <v>7957.99638540059</v>
      </c>
      <c r="AA7" s="30">
        <f ca="1">IncState!AA42</f>
        <v>7786.8971695379296</v>
      </c>
      <c r="AB7" s="30">
        <f ca="1">SUM(P7:AA7)</f>
        <v>102262.33614342562</v>
      </c>
      <c r="AC7" s="30">
        <f ca="1">IncState!AC42</f>
        <v>7614.3008355364718</v>
      </c>
      <c r="AD7" s="30">
        <f ca="1">IncState!AD42</f>
        <v>7440.194283612499</v>
      </c>
      <c r="AE7" s="30">
        <f ca="1">IncState!AE42</f>
        <v>7264.5642993591937</v>
      </c>
      <c r="AF7" s="30">
        <f ca="1">IncState!AF42</f>
        <v>7087.3975527436714</v>
      </c>
      <c r="AG7" s="30">
        <f ca="1">IncState!AG42</f>
        <v>7564.9305970952628</v>
      </c>
      <c r="AH7" s="30">
        <f ca="1">IncState!AH42</f>
        <v>7376.2866834617917</v>
      </c>
      <c r="AI7" s="30">
        <f ca="1">IncState!AI42</f>
        <v>7185.992135584027</v>
      </c>
      <c r="AJ7" s="30">
        <f ca="1">IncState!AJ42</f>
        <v>6994.0325104123331</v>
      </c>
      <c r="AK7" s="30">
        <f ca="1">IncState!AK42</f>
        <v>6800.3932385203852</v>
      </c>
      <c r="AL7" s="30">
        <f ca="1">IncState!AL42</f>
        <v>6605.0596229993835</v>
      </c>
      <c r="AM7" s="30">
        <f ca="1">IncState!AM42</f>
        <v>6670.5168383425735</v>
      </c>
      <c r="AN7" s="30">
        <f ca="1">IncState!AN42</f>
        <v>6468.4046554707602</v>
      </c>
      <c r="AO7" s="30">
        <f ca="1">SUM(AC7:AN7)</f>
        <v>85072.073253138355</v>
      </c>
    </row>
    <row r="8" spans="2:41" s="8" customFormat="1" ht="15" customHeight="1" x14ac:dyDescent="0.3">
      <c r="B8" s="29" t="s">
        <v>43</v>
      </c>
      <c r="C8" s="30">
        <f ca="1">IncState!C43</f>
        <v>9507.8666666666668</v>
      </c>
      <c r="D8" s="30">
        <f ca="1">IncState!D43</f>
        <v>14764.211478185696</v>
      </c>
      <c r="E8" s="30">
        <f ca="1">IncState!E43</f>
        <v>9945.5234734721744</v>
      </c>
      <c r="F8" s="30">
        <f ca="1">IncState!F43</f>
        <v>-9182.7280512825782</v>
      </c>
      <c r="G8" s="30">
        <f ca="1">IncState!G43</f>
        <v>5948.7262231210589</v>
      </c>
      <c r="H8" s="30">
        <f ca="1">IncState!H43</f>
        <v>5869.8112280183705</v>
      </c>
      <c r="I8" s="30">
        <f ca="1">IncState!I43</f>
        <v>10971.234726708528</v>
      </c>
      <c r="J8" s="30">
        <f ca="1">IncState!J43</f>
        <v>-4955.0003189877825</v>
      </c>
      <c r="K8" s="30">
        <f ca="1">IncState!K43</f>
        <v>992.70907866608468</v>
      </c>
      <c r="L8" s="30">
        <f ca="1">IncState!L43</f>
        <v>11460.245933549406</v>
      </c>
      <c r="M8" s="30">
        <f ca="1">IncState!M43</f>
        <v>13745.973285912965</v>
      </c>
      <c r="N8" s="30">
        <f ca="1">IncState!N43</f>
        <v>10745.9342026097</v>
      </c>
      <c r="O8" s="30">
        <f ca="1">SUM(C8:N8)</f>
        <v>79814.50792664029</v>
      </c>
      <c r="P8" s="30">
        <f ca="1">IncState!P43</f>
        <v>11424.160666216412</v>
      </c>
      <c r="Q8" s="30">
        <f ca="1">IncState!Q43</f>
        <v>1646.8780197130254</v>
      </c>
      <c r="R8" s="30">
        <f ca="1">IncState!R43</f>
        <v>11141.518300052747</v>
      </c>
      <c r="S8" s="30">
        <f ca="1">IncState!S43</f>
        <v>7643.1246828454314</v>
      </c>
      <c r="T8" s="30">
        <f ca="1">IncState!T43</f>
        <v>10829.238175961669</v>
      </c>
      <c r="U8" s="30">
        <f ca="1">IncState!U43</f>
        <v>-2687.093937857353</v>
      </c>
      <c r="V8" s="30">
        <f ca="1">IncState!V43</f>
        <v>8646.1317923277384</v>
      </c>
      <c r="W8" s="30">
        <f ca="1">IncState!W43</f>
        <v>4498.5588476519042</v>
      </c>
      <c r="X8" s="30">
        <f ca="1">IncState!X43</f>
        <v>8513.6707397102437</v>
      </c>
      <c r="Y8" s="30">
        <f ca="1">IncState!Y43</f>
        <v>-2614.0489891759935</v>
      </c>
      <c r="Z8" s="30">
        <f ca="1">IncState!Z43</f>
        <v>3775.4432343100489</v>
      </c>
      <c r="AA8" s="30">
        <f ca="1">IncState!AA43</f>
        <v>13445.831014751602</v>
      </c>
      <c r="AB8" s="30">
        <f ca="1">SUM(P8:AA8)</f>
        <v>76263.412546507476</v>
      </c>
      <c r="AC8" s="30">
        <f ca="1">IncState!AC43</f>
        <v>12056.840210494236</v>
      </c>
      <c r="AD8" s="30">
        <f ca="1">IncState!AD43</f>
        <v>-2334.4766216337448</v>
      </c>
      <c r="AE8" s="30">
        <f ca="1">IncState!AE43</f>
        <v>7359.299773957202</v>
      </c>
      <c r="AF8" s="30">
        <f ca="1">IncState!AF43</f>
        <v>6400.9064630095672</v>
      </c>
      <c r="AG8" s="30">
        <f ca="1">IncState!AG43</f>
        <v>-14931.602789408906</v>
      </c>
      <c r="AH8" s="30">
        <f ca="1">IncState!AH43</f>
        <v>10023.297506408475</v>
      </c>
      <c r="AI8" s="30">
        <f ca="1">IncState!AI43</f>
        <v>5703.8199798142596</v>
      </c>
      <c r="AJ8" s="30">
        <f ca="1">IncState!AJ43</f>
        <v>11220.088674862287</v>
      </c>
      <c r="AK8" s="30">
        <f ca="1">IncState!AK43</f>
        <v>4931.1876709920762</v>
      </c>
      <c r="AL8" s="30">
        <f ca="1">IncState!AL43</f>
        <v>10114.547750004625</v>
      </c>
      <c r="AM8" s="30">
        <f ca="1">IncState!AM43</f>
        <v>8736.8197297085135</v>
      </c>
      <c r="AN8" s="30">
        <f ca="1">IncState!AN43</f>
        <v>10436.451140912657</v>
      </c>
      <c r="AO8" s="30">
        <f ca="1">SUM(AC8:AN8)</f>
        <v>69717.179489121248</v>
      </c>
    </row>
    <row r="9" spans="2:41" s="41" customFormat="1" ht="15" customHeight="1" x14ac:dyDescent="0.35">
      <c r="B9" s="41" t="s">
        <v>83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</row>
    <row r="10" spans="2:41" ht="15" customHeight="1" x14ac:dyDescent="0.3">
      <c r="B10" s="5" t="s">
        <v>79</v>
      </c>
      <c r="C10" s="65">
        <f>IncState!C38</f>
        <v>13333.333333333334</v>
      </c>
      <c r="D10" s="65">
        <f>IncState!D38</f>
        <v>13333.333333333334</v>
      </c>
      <c r="E10" s="65">
        <f>IncState!E38</f>
        <v>14166.666666666666</v>
      </c>
      <c r="F10" s="65">
        <f>IncState!F38</f>
        <v>14166.666666666666</v>
      </c>
      <c r="G10" s="65">
        <f>IncState!G38</f>
        <v>14166.666666666666</v>
      </c>
      <c r="H10" s="65">
        <f>IncState!H38</f>
        <v>15416.666666666666</v>
      </c>
      <c r="I10" s="65">
        <f>IncState!I38</f>
        <v>15416.666666666666</v>
      </c>
      <c r="J10" s="65">
        <f>IncState!J38</f>
        <v>15416.666666666666</v>
      </c>
      <c r="K10" s="65">
        <f>IncState!K38</f>
        <v>15416.666666666666</v>
      </c>
      <c r="L10" s="65">
        <f>IncState!L38</f>
        <v>15416.666666666666</v>
      </c>
      <c r="M10" s="65">
        <f>IncState!M38</f>
        <v>15416.666666666666</v>
      </c>
      <c r="N10" s="65">
        <f>IncState!N38</f>
        <v>15416.666666666666</v>
      </c>
      <c r="O10" s="30">
        <f>SUM(C10:N10)</f>
        <v>177083.33333333334</v>
      </c>
      <c r="P10" s="65">
        <f>IncState!P38</f>
        <v>13715.277777777783</v>
      </c>
      <c r="Q10" s="65">
        <f>IncState!Q38</f>
        <v>13715.277777777783</v>
      </c>
      <c r="R10" s="65">
        <f>IncState!R38</f>
        <v>13715.277777777783</v>
      </c>
      <c r="S10" s="65">
        <f>IncState!S38</f>
        <v>13715.277777777783</v>
      </c>
      <c r="T10" s="65">
        <f>IncState!T38</f>
        <v>13715.277777777783</v>
      </c>
      <c r="U10" s="65">
        <f>IncState!U38</f>
        <v>13715.277777777783</v>
      </c>
      <c r="V10" s="65">
        <f>IncState!V38</f>
        <v>13715.277777777783</v>
      </c>
      <c r="W10" s="65">
        <f>IncState!W38</f>
        <v>14215.277777777783</v>
      </c>
      <c r="X10" s="65">
        <f>IncState!X38</f>
        <v>14215.277777777783</v>
      </c>
      <c r="Y10" s="65">
        <f>IncState!Y38</f>
        <v>14215.277777777783</v>
      </c>
      <c r="Z10" s="65">
        <f>IncState!Z38</f>
        <v>14215.277777777783</v>
      </c>
      <c r="AA10" s="65">
        <f>IncState!AA38</f>
        <v>14215.277777777783</v>
      </c>
      <c r="AB10" s="30">
        <f>SUM(P10:AA10)</f>
        <v>167083.3333333334</v>
      </c>
      <c r="AC10" s="65">
        <f>IncState!AC38</f>
        <v>11430.555555555567</v>
      </c>
      <c r="AD10" s="65">
        <f>IncState!AD38</f>
        <v>12797.222222222234</v>
      </c>
      <c r="AE10" s="65">
        <f>IncState!AE38</f>
        <v>12797.222222222234</v>
      </c>
      <c r="AF10" s="65">
        <f>IncState!AF38</f>
        <v>12797.222222222234</v>
      </c>
      <c r="AG10" s="65">
        <f>IncState!AG38</f>
        <v>12797.222222222234</v>
      </c>
      <c r="AH10" s="65">
        <f>IncState!AH38</f>
        <v>12797.222222222234</v>
      </c>
      <c r="AI10" s="65">
        <f>IncState!AI38</f>
        <v>12797.222222222234</v>
      </c>
      <c r="AJ10" s="65">
        <f>IncState!AJ38</f>
        <v>12797.222222222234</v>
      </c>
      <c r="AK10" s="65">
        <f>IncState!AK38</f>
        <v>12797.222222222234</v>
      </c>
      <c r="AL10" s="65">
        <f>IncState!AL38</f>
        <v>14380.555555555567</v>
      </c>
      <c r="AM10" s="65">
        <f>IncState!AM38</f>
        <v>14380.555555555567</v>
      </c>
      <c r="AN10" s="65">
        <f>IncState!AN38</f>
        <v>14380.555555555567</v>
      </c>
      <c r="AO10" s="30">
        <f>SUM(AC10:AN10)</f>
        <v>156950.00000000015</v>
      </c>
    </row>
    <row r="11" spans="2:41" s="11" customFormat="1" ht="15" customHeight="1" x14ac:dyDescent="0.35">
      <c r="B11" s="6" t="s">
        <v>84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</row>
    <row r="12" spans="2:41" s="8" customFormat="1" ht="15" customHeight="1" x14ac:dyDescent="0.3">
      <c r="B12" s="29" t="s">
        <v>28</v>
      </c>
      <c r="C12" s="30">
        <f ca="1">BalanceSheet!B8-BalanceSheet!C8</f>
        <v>-17258.06451612903</v>
      </c>
      <c r="D12" s="30">
        <f ca="1">BalanceSheet!C8-BalanceSheet!D8</f>
        <v>-24075.268817204284</v>
      </c>
      <c r="E12" s="30">
        <f ca="1">BalanceSheet!D8-BalanceSheet!E8</f>
        <v>13591.397849462344</v>
      </c>
      <c r="F12" s="30">
        <f ca="1">BalanceSheet!E8-BalanceSheet!F8</f>
        <v>-3458.0645161290304</v>
      </c>
      <c r="G12" s="30">
        <f ca="1">BalanceSheet!F8-BalanceSheet!G8</f>
        <v>16240.322580645181</v>
      </c>
      <c r="H12" s="30">
        <f ca="1">BalanceSheet!G8-BalanceSheet!H8</f>
        <v>-7620.9677419354848</v>
      </c>
      <c r="I12" s="30">
        <f ca="1">BalanceSheet!H8-BalanceSheet!I8</f>
        <v>-2794.3548387096962</v>
      </c>
      <c r="J12" s="30">
        <f ca="1">BalanceSheet!I8-BalanceSheet!J8</f>
        <v>12955.645161290304</v>
      </c>
      <c r="K12" s="30">
        <f ca="1">BalanceSheet!J8-BalanceSheet!K8</f>
        <v>-15580.645161290304</v>
      </c>
      <c r="L12" s="30">
        <f ca="1">BalanceSheet!K8-BalanceSheet!L8</f>
        <v>338.70967741936329</v>
      </c>
      <c r="M12" s="30">
        <f ca="1">BalanceSheet!L8-BalanceSheet!M8</f>
        <v>1016.1290322580608</v>
      </c>
      <c r="N12" s="30">
        <f ca="1">BalanceSheet!M8-BalanceSheet!N8</f>
        <v>-7729.838709677424</v>
      </c>
      <c r="O12" s="30">
        <f ca="1">SUM(C12:N12)</f>
        <v>-34375</v>
      </c>
      <c r="P12" s="30">
        <f ca="1">BalanceSheet!N8-BalanceSheet!O8</f>
        <v>-3447.5806451613025</v>
      </c>
      <c r="Q12" s="30">
        <f ca="1">BalanceSheet!O8-BalanceSheet!P8</f>
        <v>9822.5806451613025</v>
      </c>
      <c r="R12" s="30">
        <f ca="1">BalanceSheet!P8-BalanceSheet!Q8</f>
        <v>-7282.2580645161215</v>
      </c>
      <c r="S12" s="30">
        <f ca="1">BalanceSheet!Q8-BalanceSheet!R8</f>
        <v>-10567.741935483878</v>
      </c>
      <c r="T12" s="30">
        <f ca="1">BalanceSheet!R8-BalanceSheet!S8</f>
        <v>9551.6129032258177</v>
      </c>
      <c r="U12" s="30">
        <f ca="1">BalanceSheet!S8-BalanceSheet!T8</f>
        <v>21298.387096774182</v>
      </c>
      <c r="V12" s="30">
        <f ca="1">BalanceSheet!T8-BalanceSheet!U8</f>
        <v>-7750</v>
      </c>
      <c r="W12" s="30">
        <f ca="1">BalanceSheet!U8-BalanceSheet!V8</f>
        <v>-12250</v>
      </c>
      <c r="X12" s="30">
        <f ca="1">BalanceSheet!V8-BalanceSheet!W8</f>
        <v>366.66666666668607</v>
      </c>
      <c r="Y12" s="30">
        <f ca="1">BalanceSheet!W8-BalanceSheet!X8</f>
        <v>-6366.6666666666861</v>
      </c>
      <c r="Z12" s="30">
        <f ca="1">BalanceSheet!X8-BalanceSheet!Y8</f>
        <v>2500</v>
      </c>
      <c r="AA12" s="30">
        <f ca="1">BalanceSheet!Y8-BalanceSheet!Z8</f>
        <v>-13758.92857142858</v>
      </c>
      <c r="AB12" s="30">
        <f ca="1">SUM(P12:AA12)</f>
        <v>-17883.92857142858</v>
      </c>
      <c r="AC12" s="30">
        <f ca="1">BalanceSheet!Z8-BalanceSheet!AA8</f>
        <v>17097.638248847943</v>
      </c>
      <c r="AD12" s="30">
        <f ca="1">BalanceSheet!AA8-BalanceSheet!AB8</f>
        <v>-8838.7096774193633</v>
      </c>
      <c r="AE12" s="30">
        <f ca="1">BalanceSheet!AB8-BalanceSheet!AC8</f>
        <v>15129.032258064515</v>
      </c>
      <c r="AF12" s="30">
        <f ca="1">BalanceSheet!AC8-BalanceSheet!AD8</f>
        <v>-16129.032258064515</v>
      </c>
      <c r="AG12" s="30">
        <f ca="1">BalanceSheet!AD8-BalanceSheet!AE8</f>
        <v>8870.9677419354848</v>
      </c>
      <c r="AH12" s="30">
        <f ca="1">BalanceSheet!AE8-BalanceSheet!AF8</f>
        <v>-8225.8064516129089</v>
      </c>
      <c r="AI12" s="30">
        <f ca="1">BalanceSheet!AF8-BalanceSheet!AG8</f>
        <v>-10145.161290322576</v>
      </c>
      <c r="AJ12" s="30">
        <f ca="1">BalanceSheet!AG8-BalanceSheet!AH8</f>
        <v>14500</v>
      </c>
      <c r="AK12" s="30">
        <f ca="1">BalanceSheet!AH8-BalanceSheet!AI8</f>
        <v>-10000</v>
      </c>
      <c r="AL12" s="30">
        <f ca="1">BalanceSheet!AI8-BalanceSheet!AJ8</f>
        <v>3709.677419354819</v>
      </c>
      <c r="AM12" s="30">
        <f ca="1">BalanceSheet!AJ8-BalanceSheet!AK8</f>
        <v>5322.5806451613025</v>
      </c>
      <c r="AN12" s="30">
        <f ca="1">BalanceSheet!AK8-BalanceSheet!AL8</f>
        <v>-27960.829493087542</v>
      </c>
      <c r="AO12" s="30">
        <f ca="1">SUM(AC12:AN12)</f>
        <v>-16669.642857142841</v>
      </c>
    </row>
    <row r="13" spans="2:41" s="8" customFormat="1" ht="15" customHeight="1" x14ac:dyDescent="0.3">
      <c r="B13" s="29" t="s">
        <v>99</v>
      </c>
      <c r="C13" s="30">
        <f ca="1">BalanceSheet!B9-BalanceSheet!C9</f>
        <v>-40322.580645161332</v>
      </c>
      <c r="D13" s="30">
        <f ca="1">BalanceSheet!C9-BalanceSheet!D9</f>
        <v>-49677.419354838668</v>
      </c>
      <c r="E13" s="30">
        <f ca="1">BalanceSheet!D9-BalanceSheet!E9</f>
        <v>30322.580645161332</v>
      </c>
      <c r="F13" s="30">
        <f ca="1">BalanceSheet!E9-BalanceSheet!F9</f>
        <v>-11322.580645161332</v>
      </c>
      <c r="G13" s="30">
        <f ca="1">BalanceSheet!F9-BalanceSheet!G9</f>
        <v>25838.709677419392</v>
      </c>
      <c r="H13" s="30">
        <f ca="1">BalanceSheet!G9-BalanceSheet!H9</f>
        <v>-14516.129032258061</v>
      </c>
      <c r="I13" s="30">
        <f ca="1">BalanceSheet!H9-BalanceSheet!I9</f>
        <v>-5322.5806451613316</v>
      </c>
      <c r="J13" s="30">
        <f ca="1">BalanceSheet!I9-BalanceSheet!J9</f>
        <v>24677.419354838668</v>
      </c>
      <c r="K13" s="30">
        <f ca="1">BalanceSheet!J9-BalanceSheet!K9</f>
        <v>-29677.419354838668</v>
      </c>
      <c r="L13" s="30">
        <f ca="1">BalanceSheet!K9-BalanceSheet!L9</f>
        <v>645.16129032254685</v>
      </c>
      <c r="M13" s="30">
        <f ca="1">BalanceSheet!L9-BalanceSheet!M9</f>
        <v>1935.4838709678152</v>
      </c>
      <c r="N13" s="30">
        <f ca="1">BalanceSheet!M9-BalanceSheet!N9</f>
        <v>-14723.502304147463</v>
      </c>
      <c r="O13" s="30">
        <f ca="1">SUM(C13:N13)</f>
        <v>-82142.857142857101</v>
      </c>
      <c r="P13" s="30">
        <f ca="1">BalanceSheet!N9-BalanceSheet!O9</f>
        <v>-6566.8202764977468</v>
      </c>
      <c r="Q13" s="30">
        <f ca="1">BalanceSheet!O9-BalanceSheet!P9</f>
        <v>18709.677419354848</v>
      </c>
      <c r="R13" s="30">
        <f ca="1">BalanceSheet!P9-BalanceSheet!Q9</f>
        <v>-13870.967741935514</v>
      </c>
      <c r="S13" s="30">
        <f ca="1">BalanceSheet!Q9-BalanceSheet!R9</f>
        <v>-20129.032258064486</v>
      </c>
      <c r="T13" s="30">
        <f ca="1">BalanceSheet!R9-BalanceSheet!S9</f>
        <v>18193.548387096787</v>
      </c>
      <c r="U13" s="30">
        <f ca="1">BalanceSheet!S9-BalanceSheet!T9</f>
        <v>35806.451612903213</v>
      </c>
      <c r="V13" s="30">
        <f ca="1">BalanceSheet!T9-BalanceSheet!U9</f>
        <v>-15000</v>
      </c>
      <c r="W13" s="30">
        <f ca="1">BalanceSheet!U9-BalanceSheet!V9</f>
        <v>-23709.677419354848</v>
      </c>
      <c r="X13" s="30">
        <f ca="1">BalanceSheet!V9-BalanceSheet!W9</f>
        <v>709.6774193548481</v>
      </c>
      <c r="Y13" s="30">
        <f ca="1">BalanceSheet!W9-BalanceSheet!X9</f>
        <v>-12322.580645161332</v>
      </c>
      <c r="Z13" s="30">
        <f ca="1">BalanceSheet!X9-BalanceSheet!Y9</f>
        <v>4838.7096774193924</v>
      </c>
      <c r="AA13" s="30">
        <f ca="1">BalanceSheet!Y9-BalanceSheet!Z9</f>
        <v>-32730.414746543742</v>
      </c>
      <c r="AB13" s="30">
        <f ca="1">SUM(P13:AA13)</f>
        <v>-46071.42857142858</v>
      </c>
      <c r="AC13" s="30">
        <f ca="1">BalanceSheet!Z9-BalanceSheet!AA9</f>
        <v>27891.705069124349</v>
      </c>
      <c r="AD13" s="30">
        <f ca="1">BalanceSheet!AA9-BalanceSheet!AB9</f>
        <v>-17677.419354838668</v>
      </c>
      <c r="AE13" s="30">
        <f ca="1">BalanceSheet!AB9-BalanceSheet!AC9</f>
        <v>30258.06451612903</v>
      </c>
      <c r="AF13" s="30">
        <f ca="1">BalanceSheet!AC9-BalanceSheet!AD9</f>
        <v>-32258.06451612903</v>
      </c>
      <c r="AG13" s="30">
        <f ca="1">BalanceSheet!AD9-BalanceSheet!AE9</f>
        <v>17741.93548387097</v>
      </c>
      <c r="AH13" s="30">
        <f ca="1">BalanceSheet!AE9-BalanceSheet!AF9</f>
        <v>-16451.612903225818</v>
      </c>
      <c r="AI13" s="30">
        <f ca="1">BalanceSheet!AF9-BalanceSheet!AG9</f>
        <v>-20290.322580645152</v>
      </c>
      <c r="AJ13" s="30">
        <f ca="1">BalanceSheet!AG9-BalanceSheet!AH9</f>
        <v>29000</v>
      </c>
      <c r="AK13" s="30">
        <f ca="1">BalanceSheet!AH9-BalanceSheet!AI9</f>
        <v>-20000</v>
      </c>
      <c r="AL13" s="30">
        <f ca="1">BalanceSheet!AI9-BalanceSheet!AJ9</f>
        <v>7419.354838709638</v>
      </c>
      <c r="AM13" s="30">
        <f ca="1">BalanceSheet!AJ9-BalanceSheet!AK9</f>
        <v>10645.161290322605</v>
      </c>
      <c r="AN13" s="30">
        <f ca="1">BalanceSheet!AK9-BalanceSheet!AL9</f>
        <v>-55921.658986175142</v>
      </c>
      <c r="AO13" s="30">
        <f ca="1">SUM(AC13:AN13)</f>
        <v>-39642.857142857218</v>
      </c>
    </row>
    <row r="14" spans="2:41" s="8" customFormat="1" ht="15" customHeight="1" x14ac:dyDescent="0.3">
      <c r="B14" s="29" t="s">
        <v>100</v>
      </c>
      <c r="C14" s="66">
        <f ca="1">BalanceSheet!C17-BalanceSheet!B17</f>
        <v>7621.7741935483791</v>
      </c>
      <c r="D14" s="66">
        <f ca="1">BalanceSheet!D17-BalanceSheet!C17</f>
        <v>14595.725806451621</v>
      </c>
      <c r="E14" s="66">
        <f ca="1">BalanceSheet!E17-BalanceSheet!D17</f>
        <v>-5958.6290322580608</v>
      </c>
      <c r="F14" s="66">
        <f ca="1">BalanceSheet!F17-BalanceSheet!E17</f>
        <v>38928.629032258061</v>
      </c>
      <c r="G14" s="66">
        <f ca="1">BalanceSheet!G17-BalanceSheet!F17</f>
        <v>-39581.854838709682</v>
      </c>
      <c r="H14" s="66">
        <f ca="1">BalanceSheet!H17-BalanceSheet!G17</f>
        <v>6856.4516129032272</v>
      </c>
      <c r="I14" s="66">
        <f ca="1">BalanceSheet!I17-BalanceSheet!H17</f>
        <v>-7124.596774193531</v>
      </c>
      <c r="J14" s="66">
        <f ca="1">BalanceSheet!J17-BalanceSheet!I17</f>
        <v>16289.112903225774</v>
      </c>
      <c r="K14" s="66">
        <f ca="1">BalanceSheet!K17-BalanceSheet!J17</f>
        <v>4170.8870967742114</v>
      </c>
      <c r="L14" s="66">
        <f ca="1">BalanceSheet!L17-BalanceSheet!K17</f>
        <v>-17884.274193548379</v>
      </c>
      <c r="M14" s="66">
        <f ca="1">BalanceSheet!M17-BalanceSheet!L17</f>
        <v>-4847.9032258064544</v>
      </c>
      <c r="N14" s="66">
        <f ca="1">BalanceSheet!N17-BalanceSheet!M17</f>
        <v>9360.5702764976741</v>
      </c>
      <c r="O14" s="66">
        <f ca="1">SUM(C14:N14)</f>
        <v>22425.892857142841</v>
      </c>
      <c r="P14" s="66">
        <f ca="1">BalanceSheet!O17-BalanceSheet!N17</f>
        <v>6261.6877880184329</v>
      </c>
      <c r="Q14" s="66">
        <f ca="1">BalanceSheet!P17-BalanceSheet!O17</f>
        <v>7156.4193548387266</v>
      </c>
      <c r="R14" s="66">
        <f ca="1">BalanceSheet!Q17-BalanceSheet!P17</f>
        <v>-8943.3548387096962</v>
      </c>
      <c r="S14" s="66">
        <f ca="1">BalanceSheet!R17-BalanceSheet!Q17</f>
        <v>15035.854838709696</v>
      </c>
      <c r="T14" s="66">
        <f ca="1">BalanceSheet!S17-BalanceSheet!R17</f>
        <v>-13716.338709677424</v>
      </c>
      <c r="U14" s="66">
        <f ca="1">BalanceSheet!T17-BalanceSheet!S17</f>
        <v>5533.0645161290304</v>
      </c>
      <c r="V14" s="66">
        <f ca="1">BalanceSheet!U17-BalanceSheet!T17</f>
        <v>-12864.225806451621</v>
      </c>
      <c r="W14" s="66">
        <f ca="1">BalanceSheet!V17-BalanceSheet!U17</f>
        <v>19718.741935483893</v>
      </c>
      <c r="X14" s="66">
        <f ca="1">BalanceSheet!W17-BalanceSheet!V17</f>
        <v>-8066.2419354838785</v>
      </c>
      <c r="Y14" s="66">
        <f ca="1">BalanceSheet!X17-BalanceSheet!W17</f>
        <v>26326.080645161273</v>
      </c>
      <c r="Z14" s="66">
        <f ca="1">BalanceSheet!Y17-BalanceSheet!X17</f>
        <v>-13379.032258064515</v>
      </c>
      <c r="AA14" s="66">
        <f ca="1">BalanceSheet!Z17-BalanceSheet!Y17</f>
        <v>-3893.7269585253089</v>
      </c>
      <c r="AB14" s="66">
        <f ca="1">SUM(P14:AA14)</f>
        <v>19168.928571428609</v>
      </c>
      <c r="AC14" s="66">
        <f ca="1">BalanceSheet!AA17-BalanceSheet!Z17</f>
        <v>-6484.3375576036924</v>
      </c>
      <c r="AD14" s="66">
        <f ca="1">BalanceSheet!AB17-BalanceSheet!AA17</f>
        <v>32939.516129032243</v>
      </c>
      <c r="AE14" s="66">
        <f ca="1">BalanceSheet!AC17-BalanceSheet!AB17</f>
        <v>-31604.032258064515</v>
      </c>
      <c r="AF14" s="66">
        <f ca="1">BalanceSheet!AD17-BalanceSheet!AC17</f>
        <v>17181.532258064515</v>
      </c>
      <c r="AG14" s="66">
        <f ca="1">BalanceSheet!AE17-BalanceSheet!AD17</f>
        <v>28452.338709677424</v>
      </c>
      <c r="AH14" s="66">
        <f ca="1">BalanceSheet!AF17-BalanceSheet!AE17</f>
        <v>-34807.741935483878</v>
      </c>
      <c r="AI14" s="66">
        <f ca="1">BalanceSheet!AG17-BalanceSheet!AF17</f>
        <v>17050.903225806454</v>
      </c>
      <c r="AJ14" s="66">
        <f ca="1">BalanceSheet!AH17-BalanceSheet!AG17</f>
        <v>-23288.967741935485</v>
      </c>
      <c r="AK14" s="66">
        <f ca="1">BalanceSheet!AI17-BalanceSheet!AH17</f>
        <v>20361.467741935485</v>
      </c>
      <c r="AL14" s="66">
        <f ca="1">BalanceSheet!AJ17-BalanceSheet!AI17</f>
        <v>-12738.56451612903</v>
      </c>
      <c r="AM14" s="66">
        <f ca="1">BalanceSheet!AK17-BalanceSheet!AJ17</f>
        <v>-2973.3870967742114</v>
      </c>
      <c r="AN14" s="66">
        <f ca="1">BalanceSheet!AL17-BalanceSheet!AK17</f>
        <v>22108.237327188952</v>
      </c>
      <c r="AO14" s="66">
        <f ca="1">SUM(AC14:AN14)</f>
        <v>26196.964285714261</v>
      </c>
    </row>
    <row r="15" spans="2:41" s="59" customFormat="1" ht="15" customHeight="1" x14ac:dyDescent="0.35">
      <c r="B15" s="6" t="s">
        <v>85</v>
      </c>
      <c r="C15" s="67">
        <f ca="1">SUM(C6:C14)</f>
        <v>6956.1290322580171</v>
      </c>
      <c r="D15" s="67">
        <f t="shared" ref="D15:AO15" ca="1" si="3">SUM(D6:D14)</f>
        <v>16408.037634408669</v>
      </c>
      <c r="E15" s="67">
        <f t="shared" ca="1" si="3"/>
        <v>97020.349462365615</v>
      </c>
      <c r="F15" s="67">
        <f t="shared" ca="1" si="3"/>
        <v>14772.983870967699</v>
      </c>
      <c r="G15" s="67">
        <f t="shared" ca="1" si="3"/>
        <v>47912.177419354892</v>
      </c>
      <c r="H15" s="67">
        <f t="shared" ca="1" si="3"/>
        <v>30964.354838709682</v>
      </c>
      <c r="I15" s="67">
        <f t="shared" ca="1" si="3"/>
        <v>49083.467741935441</v>
      </c>
      <c r="J15" s="67">
        <f t="shared" ca="1" si="3"/>
        <v>61227.177419354746</v>
      </c>
      <c r="K15" s="67">
        <f t="shared" ca="1" si="3"/>
        <v>-12682.177419354761</v>
      </c>
      <c r="L15" s="67">
        <f t="shared" ca="1" si="3"/>
        <v>48745.596774193546</v>
      </c>
      <c r="M15" s="67">
        <f t="shared" ca="1" si="3"/>
        <v>71768.709677419421</v>
      </c>
      <c r="N15" s="67">
        <f t="shared" ca="1" si="3"/>
        <v>49712.229262672779</v>
      </c>
      <c r="O15" s="67">
        <f t="shared" ca="1" si="3"/>
        <v>481889.03571428574</v>
      </c>
      <c r="P15" s="67">
        <f t="shared" ca="1" si="3"/>
        <v>59626.286866359384</v>
      </c>
      <c r="Q15" s="67">
        <f t="shared" ca="1" si="3"/>
        <v>64000.677419354877</v>
      </c>
      <c r="R15" s="67">
        <f t="shared" ca="1" si="3"/>
        <v>31975.419354838668</v>
      </c>
      <c r="S15" s="67">
        <f t="shared" ca="1" si="3"/>
        <v>34466.080645161332</v>
      </c>
      <c r="T15" s="67">
        <f t="shared" ca="1" si="3"/>
        <v>75373.822580645181</v>
      </c>
      <c r="U15" s="67">
        <f t="shared" ca="1" si="3"/>
        <v>75547.903225806425</v>
      </c>
      <c r="V15" s="67">
        <f t="shared" ca="1" si="3"/>
        <v>17607.774193548379</v>
      </c>
      <c r="W15" s="67">
        <f t="shared" ca="1" si="3"/>
        <v>22503.064516129045</v>
      </c>
      <c r="X15" s="67">
        <f t="shared" ca="1" si="3"/>
        <v>45927.102150537656</v>
      </c>
      <c r="Y15" s="67">
        <f t="shared" ca="1" si="3"/>
        <v>20643.833333333256</v>
      </c>
      <c r="Z15" s="67">
        <f t="shared" ca="1" si="3"/>
        <v>29616.677419354877</v>
      </c>
      <c r="AA15" s="67">
        <f t="shared" ca="1" si="3"/>
        <v>19639.92972350237</v>
      </c>
      <c r="AB15" s="67">
        <f t="shared" ca="1" si="3"/>
        <v>496928.57142857159</v>
      </c>
      <c r="AC15" s="67">
        <f t="shared" ca="1" si="3"/>
        <v>100610.0057603686</v>
      </c>
      <c r="AD15" s="67">
        <f t="shared" ca="1" si="3"/>
        <v>18323.387096774211</v>
      </c>
      <c r="AE15" s="67">
        <f t="shared" ca="1" si="3"/>
        <v>60128.06451612903</v>
      </c>
      <c r="AF15" s="67">
        <f t="shared" ca="1" si="3"/>
        <v>11539.43548387097</v>
      </c>
      <c r="AG15" s="67">
        <f t="shared" ca="1" si="3"/>
        <v>22100.241935483878</v>
      </c>
      <c r="AH15" s="67">
        <f t="shared" ca="1" si="3"/>
        <v>-3514.1612903226051</v>
      </c>
      <c r="AI15" s="67">
        <f t="shared" ca="1" si="3"/>
        <v>26969.419354838727</v>
      </c>
      <c r="AJ15" s="67">
        <f t="shared" ca="1" si="3"/>
        <v>80074.032258064515</v>
      </c>
      <c r="AK15" s="67">
        <f t="shared" ca="1" si="3"/>
        <v>27570.467741935485</v>
      </c>
      <c r="AL15" s="67">
        <f t="shared" ca="1" si="3"/>
        <v>55499.467741935427</v>
      </c>
      <c r="AM15" s="67">
        <f t="shared" ca="1" si="3"/>
        <v>65248.354838709696</v>
      </c>
      <c r="AN15" s="67">
        <f t="shared" ca="1" si="3"/>
        <v>-3652.2511520737316</v>
      </c>
      <c r="AO15" s="67">
        <f t="shared" ca="1" si="3"/>
        <v>460896.4642857142</v>
      </c>
    </row>
    <row r="16" spans="2:41" s="8" customFormat="1" ht="15" customHeight="1" x14ac:dyDescent="0.3">
      <c r="B16" s="7" t="s">
        <v>86</v>
      </c>
      <c r="C16" s="30">
        <f ca="1">-C7</f>
        <v>-9625</v>
      </c>
      <c r="D16" s="30">
        <f t="shared" ref="D16:AN16" ca="1" si="4">-D7</f>
        <v>-9502.3399588606189</v>
      </c>
      <c r="E16" s="30">
        <f t="shared" ca="1" si="4"/>
        <v>-9378.6066423612701</v>
      </c>
      <c r="F16" s="30">
        <f t="shared" ca="1" si="4"/>
        <v>-9253.7906593425487</v>
      </c>
      <c r="G16" s="30">
        <f t="shared" ca="1" si="4"/>
        <v>-10002.882536472416</v>
      </c>
      <c r="H16" s="30">
        <f t="shared" ca="1" si="4"/>
        <v>-9864.7218046963171</v>
      </c>
      <c r="I16" s="30">
        <f t="shared" ca="1" si="4"/>
        <v>-9725.3521665171775</v>
      </c>
      <c r="J16" s="30">
        <f t="shared" ca="1" si="4"/>
        <v>-9584.7630440039684</v>
      </c>
      <c r="K16" s="30">
        <f t="shared" ca="1" si="4"/>
        <v>-9442.94376666877</v>
      </c>
      <c r="L16" s="30">
        <f t="shared" ca="1" si="4"/>
        <v>-9299.8835706568898</v>
      </c>
      <c r="M16" s="30">
        <f t="shared" ca="1" si="4"/>
        <v>-9155.5715979299039</v>
      </c>
      <c r="N16" s="30">
        <f t="shared" ca="1" si="4"/>
        <v>-9009.9968954415563</v>
      </c>
      <c r="O16" s="30">
        <f ca="1">SUM(C16:N16)</f>
        <v>-113845.85264295143</v>
      </c>
      <c r="P16" s="30">
        <f t="shared" ca="1" si="4"/>
        <v>-8863.1484143064354</v>
      </c>
      <c r="Q16" s="30">
        <f t="shared" ca="1" si="4"/>
        <v>-8715.0150089613835</v>
      </c>
      <c r="R16" s="30">
        <f t="shared" ca="1" si="4"/>
        <v>-8565.5854363195631</v>
      </c>
      <c r="S16" s="30">
        <f t="shared" ca="1" si="4"/>
        <v>-9114.8483549171269</v>
      </c>
      <c r="T16" s="30">
        <f t="shared" ca="1" si="4"/>
        <v>-8953.871593787735</v>
      </c>
      <c r="U16" s="30">
        <f t="shared" ca="1" si="4"/>
        <v>-8791.4862859984623</v>
      </c>
      <c r="V16" s="30">
        <f t="shared" ca="1" si="4"/>
        <v>-8627.6801067660326</v>
      </c>
      <c r="W16" s="30">
        <f t="shared" ca="1" si="4"/>
        <v>-8462.4406234653216</v>
      </c>
      <c r="X16" s="30">
        <f t="shared" ca="1" si="4"/>
        <v>-8295.7552946857268</v>
      </c>
      <c r="Y16" s="30">
        <f t="shared" ca="1" si="4"/>
        <v>-8127.6114692793117</v>
      </c>
      <c r="Z16" s="30">
        <f t="shared" ca="1" si="4"/>
        <v>-7957.99638540059</v>
      </c>
      <c r="AA16" s="30">
        <f t="shared" ca="1" si="4"/>
        <v>-7786.8971695379296</v>
      </c>
      <c r="AB16" s="30">
        <f ca="1">SUM(P16:AA16)</f>
        <v>-102262.33614342562</v>
      </c>
      <c r="AC16" s="30">
        <f t="shared" ca="1" si="4"/>
        <v>-7614.3008355364718</v>
      </c>
      <c r="AD16" s="30">
        <f t="shared" ca="1" si="4"/>
        <v>-7440.194283612499</v>
      </c>
      <c r="AE16" s="30">
        <f t="shared" ca="1" si="4"/>
        <v>-7264.5642993591937</v>
      </c>
      <c r="AF16" s="30">
        <f t="shared" ca="1" si="4"/>
        <v>-7087.3975527436714</v>
      </c>
      <c r="AG16" s="30">
        <f t="shared" ca="1" si="4"/>
        <v>-7564.9305970952628</v>
      </c>
      <c r="AH16" s="30">
        <f t="shared" ca="1" si="4"/>
        <v>-7376.2866834617917</v>
      </c>
      <c r="AI16" s="30">
        <f t="shared" ca="1" si="4"/>
        <v>-7185.992135584027</v>
      </c>
      <c r="AJ16" s="30">
        <f t="shared" ca="1" si="4"/>
        <v>-6994.0325104123331</v>
      </c>
      <c r="AK16" s="30">
        <f t="shared" ca="1" si="4"/>
        <v>-6800.3932385203852</v>
      </c>
      <c r="AL16" s="30">
        <f t="shared" ca="1" si="4"/>
        <v>-6605.0596229993835</v>
      </c>
      <c r="AM16" s="30">
        <f t="shared" ca="1" si="4"/>
        <v>-6670.5168383425735</v>
      </c>
      <c r="AN16" s="30">
        <f t="shared" ca="1" si="4"/>
        <v>-6468.4046554707602</v>
      </c>
      <c r="AO16" s="30">
        <f ca="1">SUM(AC16:AN16)</f>
        <v>-85072.073253138355</v>
      </c>
    </row>
    <row r="17" spans="1:41" s="8" customFormat="1" ht="15" customHeight="1" x14ac:dyDescent="0.3">
      <c r="B17" s="7" t="s">
        <v>87</v>
      </c>
      <c r="C17" s="30">
        <f ca="1">BalanceSheet!C18-BalanceSheet!B18-C8</f>
        <v>0</v>
      </c>
      <c r="D17" s="30">
        <f ca="1">BalanceSheet!D18-BalanceSheet!C18-D8</f>
        <v>0</v>
      </c>
      <c r="E17" s="30">
        <f ca="1">BalanceSheet!E18-BalanceSheet!D18-E8</f>
        <v>0</v>
      </c>
      <c r="F17" s="30">
        <f ca="1">BalanceSheet!F18-BalanceSheet!E18-F8</f>
        <v>0</v>
      </c>
      <c r="G17" s="30">
        <f ca="1">BalanceSheet!G18-BalanceSheet!F18-G8</f>
        <v>0</v>
      </c>
      <c r="H17" s="30">
        <f ca="1">BalanceSheet!H18-BalanceSheet!G18-H8</f>
        <v>-36853.411018181388</v>
      </c>
      <c r="I17" s="30">
        <f ca="1">BalanceSheet!I18-BalanceSheet!H18-I8</f>
        <v>0</v>
      </c>
      <c r="J17" s="30">
        <f ca="1">BalanceSheet!J18-BalanceSheet!I18-J8</f>
        <v>0</v>
      </c>
      <c r="K17" s="30">
        <f ca="1">BalanceSheet!K18-BalanceSheet!J18-K8</f>
        <v>0</v>
      </c>
      <c r="L17" s="30">
        <f ca="1">BalanceSheet!L18-BalanceSheet!K18-L8</f>
        <v>0</v>
      </c>
      <c r="M17" s="30">
        <f ca="1">BalanceSheet!M18-BalanceSheet!L18-M8</f>
        <v>0</v>
      </c>
      <c r="N17" s="30">
        <f ca="1">BalanceSheet!N18-BalanceSheet!M18-N8</f>
        <v>-42961.096908458901</v>
      </c>
      <c r="O17" s="30">
        <f ca="1">SUM(C17:N17)</f>
        <v>-79814.50792664029</v>
      </c>
      <c r="P17" s="30">
        <f ca="1">BalanceSheet!O18-BalanceSheet!N18-P8</f>
        <v>0</v>
      </c>
      <c r="Q17" s="30">
        <f ca="1">BalanceSheet!P18-BalanceSheet!O18-Q8</f>
        <v>0</v>
      </c>
      <c r="R17" s="30">
        <f ca="1">BalanceSheet!Q18-BalanceSheet!P18-R8</f>
        <v>0</v>
      </c>
      <c r="S17" s="30">
        <f ca="1">BalanceSheet!R18-BalanceSheet!Q18-S8</f>
        <v>0</v>
      </c>
      <c r="T17" s="30">
        <f ca="1">BalanceSheet!S18-BalanceSheet!R18-T8</f>
        <v>0</v>
      </c>
      <c r="U17" s="30">
        <f ca="1">BalanceSheet!T18-BalanceSheet!S18-U8</f>
        <v>-39997.825906931932</v>
      </c>
      <c r="V17" s="30">
        <f ca="1">BalanceSheet!U18-BalanceSheet!T18-V8</f>
        <v>0</v>
      </c>
      <c r="W17" s="30">
        <f ca="1">BalanceSheet!V18-BalanceSheet!U18-W8</f>
        <v>0</v>
      </c>
      <c r="X17" s="30">
        <f ca="1">BalanceSheet!W18-BalanceSheet!V18-X8</f>
        <v>0</v>
      </c>
      <c r="Y17" s="30">
        <f ca="1">BalanceSheet!X18-BalanceSheet!W18-Y8</f>
        <v>0</v>
      </c>
      <c r="Z17" s="30">
        <f ca="1">BalanceSheet!Y18-BalanceSheet!X18-Z8</f>
        <v>0</v>
      </c>
      <c r="AA17" s="30">
        <f ca="1">BalanceSheet!Z18-BalanceSheet!Y18-AA8</f>
        <v>-36265.586639575544</v>
      </c>
      <c r="AB17" s="30">
        <f ca="1">SUM(P17:AA17)</f>
        <v>-76263.412546507476</v>
      </c>
      <c r="AC17" s="30">
        <f ca="1">BalanceSheet!AA18-BalanceSheet!Z18-AC8</f>
        <v>0</v>
      </c>
      <c r="AD17" s="30">
        <f ca="1">BalanceSheet!AB18-BalanceSheet!AA18-AD8</f>
        <v>0</v>
      </c>
      <c r="AE17" s="30">
        <f ca="1">BalanceSheet!AC18-BalanceSheet!AB18-AE8</f>
        <v>0</v>
      </c>
      <c r="AF17" s="30">
        <f ca="1">BalanceSheet!AD18-BalanceSheet!AC18-AF8</f>
        <v>0</v>
      </c>
      <c r="AG17" s="30">
        <f ca="1">BalanceSheet!AE18-BalanceSheet!AD18-AG8</f>
        <v>0</v>
      </c>
      <c r="AH17" s="30">
        <f ca="1">BalanceSheet!AF18-BalanceSheet!AE18-AH8</f>
        <v>-18574.26454282683</v>
      </c>
      <c r="AI17" s="30">
        <f ca="1">BalanceSheet!AG18-BalanceSheet!AF18-AI8</f>
        <v>0</v>
      </c>
      <c r="AJ17" s="30">
        <f ca="1">BalanceSheet!AH18-BalanceSheet!AG18-AJ8</f>
        <v>0</v>
      </c>
      <c r="AK17" s="30">
        <f ca="1">BalanceSheet!AI18-BalanceSheet!AH18-AK8</f>
        <v>0</v>
      </c>
      <c r="AL17" s="30">
        <f ca="1">BalanceSheet!AJ18-BalanceSheet!AI18-AL8</f>
        <v>0</v>
      </c>
      <c r="AM17" s="30">
        <f ca="1">BalanceSheet!AK18-BalanceSheet!AJ18-AM8</f>
        <v>0</v>
      </c>
      <c r="AN17" s="30">
        <f ca="1">BalanceSheet!AL18-BalanceSheet!AK18-AN8</f>
        <v>-51142.914946294419</v>
      </c>
      <c r="AO17" s="30">
        <f ca="1">SUM(AC17:AN17)</f>
        <v>-69717.179489121248</v>
      </c>
    </row>
    <row r="18" spans="1:41" s="59" customFormat="1" ht="15" customHeight="1" x14ac:dyDescent="0.35">
      <c r="B18" s="6" t="s">
        <v>88</v>
      </c>
      <c r="C18" s="68">
        <f ca="1">SUM(C15:C17)</f>
        <v>-2668.8709677419829</v>
      </c>
      <c r="D18" s="68">
        <f t="shared" ref="D18:AO18" ca="1" si="5">SUM(D15:D17)</f>
        <v>6905.69767554805</v>
      </c>
      <c r="E18" s="68">
        <f t="shared" ca="1" si="5"/>
        <v>87641.742820004351</v>
      </c>
      <c r="F18" s="68">
        <f t="shared" ca="1" si="5"/>
        <v>5519.1932116251501</v>
      </c>
      <c r="G18" s="68">
        <f t="shared" ca="1" si="5"/>
        <v>37909.294882882474</v>
      </c>
      <c r="H18" s="68">
        <f t="shared" ca="1" si="5"/>
        <v>-15753.777984168024</v>
      </c>
      <c r="I18" s="68">
        <f t="shared" ca="1" si="5"/>
        <v>39358.115575418262</v>
      </c>
      <c r="J18" s="68">
        <f t="shared" ca="1" si="5"/>
        <v>51642.414375350781</v>
      </c>
      <c r="K18" s="68">
        <f t="shared" ca="1" si="5"/>
        <v>-22125.121186023531</v>
      </c>
      <c r="L18" s="68">
        <f t="shared" ca="1" si="5"/>
        <v>39445.713203536652</v>
      </c>
      <c r="M18" s="68">
        <f t="shared" ca="1" si="5"/>
        <v>62613.138079489516</v>
      </c>
      <c r="N18" s="68">
        <f t="shared" ca="1" si="5"/>
        <v>-2258.8645412276819</v>
      </c>
      <c r="O18" s="68">
        <f t="shared" ca="1" si="5"/>
        <v>288228.67514469405</v>
      </c>
      <c r="P18" s="68">
        <f t="shared" ca="1" si="5"/>
        <v>50763.138452052946</v>
      </c>
      <c r="Q18" s="68">
        <f t="shared" ca="1" si="5"/>
        <v>55285.662410393496</v>
      </c>
      <c r="R18" s="68">
        <f t="shared" ca="1" si="5"/>
        <v>23409.833918519107</v>
      </c>
      <c r="S18" s="68">
        <f t="shared" ca="1" si="5"/>
        <v>25351.232290244203</v>
      </c>
      <c r="T18" s="68">
        <f t="shared" ca="1" si="5"/>
        <v>66419.950986857439</v>
      </c>
      <c r="U18" s="68">
        <f t="shared" ca="1" si="5"/>
        <v>26758.591032876036</v>
      </c>
      <c r="V18" s="68">
        <f t="shared" ca="1" si="5"/>
        <v>8980.0940867823465</v>
      </c>
      <c r="W18" s="68">
        <f t="shared" ca="1" si="5"/>
        <v>14040.623892663723</v>
      </c>
      <c r="X18" s="68">
        <f t="shared" ca="1" si="5"/>
        <v>37631.346855851931</v>
      </c>
      <c r="Y18" s="68">
        <f t="shared" ca="1" si="5"/>
        <v>12516.221864053943</v>
      </c>
      <c r="Z18" s="68">
        <f t="shared" ca="1" si="5"/>
        <v>21658.681033954286</v>
      </c>
      <c r="AA18" s="68">
        <f t="shared" ca="1" si="5"/>
        <v>-24412.554085611104</v>
      </c>
      <c r="AB18" s="68">
        <f t="shared" ca="1" si="5"/>
        <v>318402.8227386385</v>
      </c>
      <c r="AC18" s="68">
        <f t="shared" ca="1" si="5"/>
        <v>92995.704924832127</v>
      </c>
      <c r="AD18" s="68">
        <f t="shared" ca="1" si="5"/>
        <v>10883.192813161713</v>
      </c>
      <c r="AE18" s="68">
        <f t="shared" ca="1" si="5"/>
        <v>52863.50021676984</v>
      </c>
      <c r="AF18" s="68">
        <f t="shared" ca="1" si="5"/>
        <v>4452.0379311272982</v>
      </c>
      <c r="AG18" s="68">
        <f t="shared" ca="1" si="5"/>
        <v>14535.311338388616</v>
      </c>
      <c r="AH18" s="68">
        <f t="shared" ca="1" si="5"/>
        <v>-29464.712516611227</v>
      </c>
      <c r="AI18" s="68">
        <f t="shared" ca="1" si="5"/>
        <v>19783.4272192547</v>
      </c>
      <c r="AJ18" s="68">
        <f t="shared" ca="1" si="5"/>
        <v>73079.999747652182</v>
      </c>
      <c r="AK18" s="68">
        <f t="shared" ca="1" si="5"/>
        <v>20770.0745034151</v>
      </c>
      <c r="AL18" s="68">
        <f t="shared" ca="1" si="5"/>
        <v>48894.408118936044</v>
      </c>
      <c r="AM18" s="68">
        <f t="shared" ca="1" si="5"/>
        <v>58577.838000367119</v>
      </c>
      <c r="AN18" s="68">
        <f t="shared" ca="1" si="5"/>
        <v>-61263.570753838911</v>
      </c>
      <c r="AO18" s="68">
        <f t="shared" ca="1" si="5"/>
        <v>306107.21154345461</v>
      </c>
    </row>
    <row r="19" spans="1:41" s="8" customFormat="1" ht="15" customHeight="1" x14ac:dyDescent="0.3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</row>
    <row r="20" spans="1:41" s="8" customFormat="1" ht="15" customHeight="1" x14ac:dyDescent="0.35">
      <c r="B20" s="2" t="s">
        <v>89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41" s="8" customFormat="1" ht="15" customHeight="1" x14ac:dyDescent="0.35">
      <c r="A21" s="25"/>
      <c r="B21" s="29" t="s">
        <v>90</v>
      </c>
      <c r="C21" s="30">
        <v>0</v>
      </c>
      <c r="D21" s="30">
        <v>0</v>
      </c>
      <c r="E21" s="30">
        <v>-50000</v>
      </c>
      <c r="F21" s="30">
        <v>0</v>
      </c>
      <c r="G21" s="30">
        <v>0</v>
      </c>
      <c r="H21" s="30">
        <v>-75000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f>SUM(C21:N21)</f>
        <v>-125000</v>
      </c>
      <c r="P21" s="30">
        <v>-75000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-30000</v>
      </c>
      <c r="X21" s="30">
        <v>0</v>
      </c>
      <c r="Y21" s="30">
        <v>0</v>
      </c>
      <c r="Z21" s="30">
        <v>0</v>
      </c>
      <c r="AA21" s="30">
        <v>0</v>
      </c>
      <c r="AB21" s="30">
        <f>SUM(P21:AA21)</f>
        <v>-105000</v>
      </c>
      <c r="AC21" s="30">
        <v>0</v>
      </c>
      <c r="AD21" s="30">
        <v>-82000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-95000</v>
      </c>
      <c r="AM21" s="30">
        <v>0</v>
      </c>
      <c r="AN21" s="30">
        <v>0</v>
      </c>
      <c r="AO21" s="30">
        <f>SUM(AC21:AN21)</f>
        <v>-177000</v>
      </c>
    </row>
    <row r="22" spans="1:41" s="59" customFormat="1" ht="15" customHeight="1" x14ac:dyDescent="0.35">
      <c r="B22" s="6" t="s">
        <v>91</v>
      </c>
      <c r="C22" s="68">
        <f>SUM(C21)</f>
        <v>0</v>
      </c>
      <c r="D22" s="68">
        <f t="shared" ref="D22:AO22" si="6">SUM(D21)</f>
        <v>0</v>
      </c>
      <c r="E22" s="68">
        <f t="shared" si="6"/>
        <v>-50000</v>
      </c>
      <c r="F22" s="68">
        <f t="shared" si="6"/>
        <v>0</v>
      </c>
      <c r="G22" s="68">
        <f t="shared" si="6"/>
        <v>0</v>
      </c>
      <c r="H22" s="68">
        <f t="shared" si="6"/>
        <v>-75000</v>
      </c>
      <c r="I22" s="68">
        <f t="shared" si="6"/>
        <v>0</v>
      </c>
      <c r="J22" s="68">
        <f t="shared" si="6"/>
        <v>0</v>
      </c>
      <c r="K22" s="68">
        <f t="shared" si="6"/>
        <v>0</v>
      </c>
      <c r="L22" s="68">
        <f t="shared" si="6"/>
        <v>0</v>
      </c>
      <c r="M22" s="68">
        <f t="shared" si="6"/>
        <v>0</v>
      </c>
      <c r="N22" s="68">
        <f t="shared" si="6"/>
        <v>0</v>
      </c>
      <c r="O22" s="68">
        <f t="shared" si="6"/>
        <v>-125000</v>
      </c>
      <c r="P22" s="68">
        <f t="shared" si="6"/>
        <v>-75000</v>
      </c>
      <c r="Q22" s="68">
        <f t="shared" si="6"/>
        <v>0</v>
      </c>
      <c r="R22" s="68">
        <f t="shared" si="6"/>
        <v>0</v>
      </c>
      <c r="S22" s="68">
        <f t="shared" si="6"/>
        <v>0</v>
      </c>
      <c r="T22" s="68">
        <f t="shared" si="6"/>
        <v>0</v>
      </c>
      <c r="U22" s="68">
        <f t="shared" si="6"/>
        <v>0</v>
      </c>
      <c r="V22" s="68">
        <f t="shared" si="6"/>
        <v>0</v>
      </c>
      <c r="W22" s="68">
        <f t="shared" si="6"/>
        <v>-30000</v>
      </c>
      <c r="X22" s="68">
        <f t="shared" si="6"/>
        <v>0</v>
      </c>
      <c r="Y22" s="68">
        <f t="shared" si="6"/>
        <v>0</v>
      </c>
      <c r="Z22" s="68">
        <f t="shared" si="6"/>
        <v>0</v>
      </c>
      <c r="AA22" s="68">
        <f t="shared" si="6"/>
        <v>0</v>
      </c>
      <c r="AB22" s="68">
        <f t="shared" si="6"/>
        <v>-105000</v>
      </c>
      <c r="AC22" s="68">
        <f t="shared" si="6"/>
        <v>0</v>
      </c>
      <c r="AD22" s="68">
        <f t="shared" si="6"/>
        <v>-82000</v>
      </c>
      <c r="AE22" s="68">
        <f t="shared" si="6"/>
        <v>0</v>
      </c>
      <c r="AF22" s="68">
        <f t="shared" si="6"/>
        <v>0</v>
      </c>
      <c r="AG22" s="68">
        <f t="shared" si="6"/>
        <v>0</v>
      </c>
      <c r="AH22" s="68">
        <f t="shared" si="6"/>
        <v>0</v>
      </c>
      <c r="AI22" s="68">
        <f t="shared" si="6"/>
        <v>0</v>
      </c>
      <c r="AJ22" s="68">
        <f t="shared" si="6"/>
        <v>0</v>
      </c>
      <c r="AK22" s="68">
        <f t="shared" si="6"/>
        <v>0</v>
      </c>
      <c r="AL22" s="68">
        <f t="shared" si="6"/>
        <v>-95000</v>
      </c>
      <c r="AM22" s="68">
        <f t="shared" si="6"/>
        <v>0</v>
      </c>
      <c r="AN22" s="68">
        <f t="shared" si="6"/>
        <v>0</v>
      </c>
      <c r="AO22" s="68">
        <f t="shared" si="6"/>
        <v>-177000</v>
      </c>
    </row>
    <row r="23" spans="1:41" s="8" customFormat="1" ht="15" customHeight="1" x14ac:dyDescent="0.3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</row>
    <row r="24" spans="1:41" ht="15" customHeight="1" x14ac:dyDescent="0.35">
      <c r="B24" s="2" t="s">
        <v>92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</row>
    <row r="25" spans="1:41" s="8" customFormat="1" ht="15" customHeight="1" x14ac:dyDescent="0.35">
      <c r="A25" s="25"/>
      <c r="B25" s="29" t="s">
        <v>93</v>
      </c>
      <c r="C25" s="30">
        <v>0</v>
      </c>
      <c r="D25" s="30">
        <v>0</v>
      </c>
      <c r="E25" s="30">
        <v>0</v>
      </c>
      <c r="F25" s="30">
        <v>500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f>SUM(C25:N25)</f>
        <v>500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f>SUM(P25:AA25)</f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f>SUM(AC25:AN25)</f>
        <v>0</v>
      </c>
    </row>
    <row r="26" spans="1:41" s="8" customFormat="1" ht="15" customHeight="1" x14ac:dyDescent="0.35">
      <c r="A26" s="25"/>
      <c r="B26" s="29" t="s">
        <v>94</v>
      </c>
      <c r="C26" s="30">
        <v>0</v>
      </c>
      <c r="D26" s="30">
        <v>0</v>
      </c>
      <c r="E26" s="30">
        <v>0</v>
      </c>
      <c r="F26" s="30">
        <v>0</v>
      </c>
      <c r="G26" s="30">
        <v>100000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f>SUM(C26:N26)</f>
        <v>100000</v>
      </c>
      <c r="P26" s="30">
        <v>0</v>
      </c>
      <c r="Q26" s="30">
        <v>0</v>
      </c>
      <c r="R26" s="30">
        <v>0</v>
      </c>
      <c r="S26" s="30">
        <v>80000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f>SUM(P26:AA26)</f>
        <v>80000</v>
      </c>
      <c r="AC26" s="30">
        <v>0</v>
      </c>
      <c r="AD26" s="30">
        <v>0</v>
      </c>
      <c r="AE26" s="30">
        <v>0</v>
      </c>
      <c r="AF26" s="30">
        <v>0</v>
      </c>
      <c r="AG26" s="30">
        <v>75000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30000</v>
      </c>
      <c r="AN26" s="30">
        <v>0</v>
      </c>
      <c r="AO26" s="30">
        <f>SUM(AC26:AN26)</f>
        <v>105000</v>
      </c>
    </row>
    <row r="27" spans="1:41" s="8" customFormat="1" ht="15" customHeight="1" x14ac:dyDescent="0.3">
      <c r="B27" s="29" t="s">
        <v>102</v>
      </c>
      <c r="C27" s="30">
        <f ca="1">-OFFSET(Loans!$F$9,COLUMN(C24)-2,0,1,1)</f>
        <v>-14018.290415929208</v>
      </c>
      <c r="D27" s="30">
        <f ca="1">-OFFSET(Loans!$F$9,COLUMN(D24)-2,0,1,1)</f>
        <v>-14140.950457068589</v>
      </c>
      <c r="E27" s="30">
        <f ca="1">-OFFSET(Loans!$F$9,COLUMN(E24)-2,0,1,1)</f>
        <v>-14264.683773567938</v>
      </c>
      <c r="F27" s="30">
        <f ca="1">-OFFSET(Loans!$F$9,COLUMN(F24)-2,0,1,1)</f>
        <v>-14389.49975658666</v>
      </c>
      <c r="G27" s="30">
        <f ca="1">-OFFSET(Loans!$F$9,COLUMN(G24)-2,0,1,1)</f>
        <v>-15789.797917268535</v>
      </c>
      <c r="H27" s="30">
        <f ca="1">-OFFSET(Loans!$F$9,COLUMN(H24)-2,0,1,1)</f>
        <v>-15927.958649044635</v>
      </c>
      <c r="I27" s="30">
        <f ca="1">-OFFSET(Loans!$F$9,COLUMN(I24)-2,0,1,1)</f>
        <v>-16067.328287223774</v>
      </c>
      <c r="J27" s="30">
        <f ca="1">-OFFSET(Loans!$F$9,COLUMN(J24)-2,0,1,1)</f>
        <v>-16207.917409736983</v>
      </c>
      <c r="K27" s="30">
        <f ca="1">-OFFSET(Loans!$F$9,COLUMN(K24)-2,0,1,1)</f>
        <v>-16349.736687072182</v>
      </c>
      <c r="L27" s="30">
        <f ca="1">-OFFSET(Loans!$F$9,COLUMN(L24)-2,0,1,1)</f>
        <v>-16492.796883084062</v>
      </c>
      <c r="M27" s="30">
        <f ca="1">-OFFSET(Loans!$F$9,COLUMN(M24)-2,0,1,1)</f>
        <v>-16637.10885581105</v>
      </c>
      <c r="N27" s="30">
        <f ca="1">-OFFSET(Loans!$F$9,COLUMN(N24)-2,0,1,1)</f>
        <v>-16782.683558299395</v>
      </c>
      <c r="O27" s="30">
        <f ca="1">SUM(C27:N27)</f>
        <v>-187068.752650693</v>
      </c>
      <c r="P27" s="30">
        <f ca="1">-OFFSET(Loans!$F$9,COLUMN(P24)-3,0,1,1)</f>
        <v>-16929.532039434518</v>
      </c>
      <c r="Q27" s="30">
        <f ca="1">-OFFSET(Loans!$F$9,COLUMN(Q24)-3,0,1,1)</f>
        <v>-17077.665444779566</v>
      </c>
      <c r="R27" s="30">
        <f ca="1">-OFFSET(Loans!$F$9,COLUMN(R24)-3,0,1,1)</f>
        <v>-17227.095017421387</v>
      </c>
      <c r="S27" s="30">
        <f ca="1">-OFFSET(Loans!$F$9,COLUMN(S24)-3,0,1,1)</f>
        <v>-18397.344129073223</v>
      </c>
      <c r="T27" s="30">
        <f ca="1">-OFFSET(Loans!$F$9,COLUMN(T24)-3,0,1,1)</f>
        <v>-18558.320890202613</v>
      </c>
      <c r="U27" s="30">
        <f ca="1">-OFFSET(Loans!$F$9,COLUMN(U24)-3,0,1,1)</f>
        <v>-18720.706197991887</v>
      </c>
      <c r="V27" s="30">
        <f ca="1">-OFFSET(Loans!$F$9,COLUMN(V24)-3,0,1,1)</f>
        <v>-18884.512377224317</v>
      </c>
      <c r="W27" s="30">
        <f ca="1">-OFFSET(Loans!$F$9,COLUMN(W24)-3,0,1,1)</f>
        <v>-19049.751860525026</v>
      </c>
      <c r="X27" s="30">
        <f ca="1">-OFFSET(Loans!$F$9,COLUMN(X24)-3,0,1,1)</f>
        <v>-19216.437189304619</v>
      </c>
      <c r="Y27" s="30">
        <f ca="1">-OFFSET(Loans!$F$9,COLUMN(Y24)-3,0,1,1)</f>
        <v>-19384.581014711035</v>
      </c>
      <c r="Z27" s="30">
        <f ca="1">-OFFSET(Loans!$F$9,COLUMN(Z24)-3,0,1,1)</f>
        <v>-19554.196098589757</v>
      </c>
      <c r="AA27" s="30">
        <f ca="1">-OFFSET(Loans!$F$9,COLUMN(AA24)-3,0,1,1)</f>
        <v>-19725.295314452418</v>
      </c>
      <c r="AB27" s="30">
        <f ca="1">SUM(P27:AA27)</f>
        <v>-222725.43757371034</v>
      </c>
      <c r="AC27" s="30">
        <f ca="1">-OFFSET(Loans!$F$9,COLUMN(AC24)-4,0,1,1)</f>
        <v>-19897.891648453875</v>
      </c>
      <c r="AD27" s="30">
        <f ca="1">-OFFSET(Loans!$F$9,COLUMN(AD24)-4,0,1,1)</f>
        <v>-20071.99820037785</v>
      </c>
      <c r="AE27" s="30">
        <f ca="1">-OFFSET(Loans!$F$9,COLUMN(AE24)-4,0,1,1)</f>
        <v>-20247.628184631154</v>
      </c>
      <c r="AF27" s="30">
        <f ca="1">-OFFSET(Loans!$F$9,COLUMN(AF24)-4,0,1,1)</f>
        <v>-20424.794931246677</v>
      </c>
      <c r="AG27" s="30">
        <f ca="1">-OFFSET(Loans!$F$9,COLUMN(AG24)-4,0,1,1)</f>
        <v>-21559.304415253897</v>
      </c>
      <c r="AH27" s="30">
        <f ca="1">-OFFSET(Loans!$F$9,COLUMN(AH24)-4,0,1,1)</f>
        <v>-21747.948328887367</v>
      </c>
      <c r="AI27" s="30">
        <f ca="1">-OFFSET(Loans!$F$9,COLUMN(AI24)-4,0,1,1)</f>
        <v>-21938.242876765133</v>
      </c>
      <c r="AJ27" s="30">
        <f ca="1">-OFFSET(Loans!$F$9,COLUMN(AJ24)-4,0,1,1)</f>
        <v>-22130.202501936827</v>
      </c>
      <c r="AK27" s="30">
        <f ca="1">-OFFSET(Loans!$F$9,COLUMN(AK24)-4,0,1,1)</f>
        <v>-22323.841773828775</v>
      </c>
      <c r="AL27" s="30">
        <f ca="1">-OFFSET(Loans!$F$9,COLUMN(AL24)-4,0,1,1)</f>
        <v>-22519.175389349777</v>
      </c>
      <c r="AM27" s="30">
        <f ca="1">-OFFSET(Loans!$F$9,COLUMN(AM24)-4,0,1,1)</f>
        <v>-23098.535185350109</v>
      </c>
      <c r="AN27" s="30">
        <f ca="1">-OFFSET(Loans!$F$9,COLUMN(AN24)-4,0,1,1)</f>
        <v>-23300.647368221922</v>
      </c>
      <c r="AO27" s="30">
        <f ca="1">SUM(AC27:AN27)</f>
        <v>-259260.21080430335</v>
      </c>
    </row>
    <row r="28" spans="1:41" s="59" customFormat="1" ht="15" customHeight="1" x14ac:dyDescent="0.35">
      <c r="B28" s="69" t="s">
        <v>95</v>
      </c>
      <c r="C28" s="68">
        <f ca="1">SUM(C25:C27)</f>
        <v>-14018.290415929208</v>
      </c>
      <c r="D28" s="68">
        <f t="shared" ref="D28:AO28" ca="1" si="7">SUM(D25:D27)</f>
        <v>-14140.950457068589</v>
      </c>
      <c r="E28" s="68">
        <f t="shared" ca="1" si="7"/>
        <v>-14264.683773567938</v>
      </c>
      <c r="F28" s="68">
        <f t="shared" ca="1" si="7"/>
        <v>-13889.49975658666</v>
      </c>
      <c r="G28" s="68">
        <f t="shared" ca="1" si="7"/>
        <v>84210.20208273147</v>
      </c>
      <c r="H28" s="68">
        <f t="shared" ca="1" si="7"/>
        <v>-15927.958649044635</v>
      </c>
      <c r="I28" s="68">
        <f t="shared" ca="1" si="7"/>
        <v>-16067.328287223774</v>
      </c>
      <c r="J28" s="68">
        <f t="shared" ca="1" si="7"/>
        <v>-16207.917409736983</v>
      </c>
      <c r="K28" s="68">
        <f t="shared" ca="1" si="7"/>
        <v>-16349.736687072182</v>
      </c>
      <c r="L28" s="68">
        <f t="shared" ca="1" si="7"/>
        <v>-16492.796883084062</v>
      </c>
      <c r="M28" s="68">
        <f t="shared" ca="1" si="7"/>
        <v>-16637.10885581105</v>
      </c>
      <c r="N28" s="68">
        <f t="shared" ca="1" si="7"/>
        <v>-16782.683558299395</v>
      </c>
      <c r="O28" s="68">
        <f t="shared" ca="1" si="7"/>
        <v>-86568.752650693001</v>
      </c>
      <c r="P28" s="68">
        <f t="shared" ca="1" si="7"/>
        <v>-16929.532039434518</v>
      </c>
      <c r="Q28" s="68">
        <f t="shared" ca="1" si="7"/>
        <v>-17077.665444779566</v>
      </c>
      <c r="R28" s="68">
        <f t="shared" ca="1" si="7"/>
        <v>-17227.095017421387</v>
      </c>
      <c r="S28" s="68">
        <f t="shared" ca="1" si="7"/>
        <v>61602.655870926777</v>
      </c>
      <c r="T28" s="68">
        <f t="shared" ca="1" si="7"/>
        <v>-18558.320890202613</v>
      </c>
      <c r="U28" s="68">
        <f t="shared" ca="1" si="7"/>
        <v>-18720.706197991887</v>
      </c>
      <c r="V28" s="68">
        <f t="shared" ca="1" si="7"/>
        <v>-18884.512377224317</v>
      </c>
      <c r="W28" s="68">
        <f t="shared" ca="1" si="7"/>
        <v>-19049.751860525026</v>
      </c>
      <c r="X28" s="68">
        <f t="shared" ca="1" si="7"/>
        <v>-19216.437189304619</v>
      </c>
      <c r="Y28" s="68">
        <f t="shared" ca="1" si="7"/>
        <v>-19384.581014711035</v>
      </c>
      <c r="Z28" s="68">
        <f t="shared" ca="1" si="7"/>
        <v>-19554.196098589757</v>
      </c>
      <c r="AA28" s="68">
        <f t="shared" ca="1" si="7"/>
        <v>-19725.295314452418</v>
      </c>
      <c r="AB28" s="68">
        <f t="shared" ca="1" si="7"/>
        <v>-142725.43757371034</v>
      </c>
      <c r="AC28" s="68">
        <f t="shared" ca="1" si="7"/>
        <v>-19897.891648453875</v>
      </c>
      <c r="AD28" s="68">
        <f t="shared" ca="1" si="7"/>
        <v>-20071.99820037785</v>
      </c>
      <c r="AE28" s="68">
        <f t="shared" ca="1" si="7"/>
        <v>-20247.628184631154</v>
      </c>
      <c r="AF28" s="68">
        <f t="shared" ca="1" si="7"/>
        <v>-20424.794931246677</v>
      </c>
      <c r="AG28" s="68">
        <f t="shared" ca="1" si="7"/>
        <v>53440.695584746107</v>
      </c>
      <c r="AH28" s="68">
        <f t="shared" ca="1" si="7"/>
        <v>-21747.948328887367</v>
      </c>
      <c r="AI28" s="68">
        <f t="shared" ca="1" si="7"/>
        <v>-21938.242876765133</v>
      </c>
      <c r="AJ28" s="68">
        <f t="shared" ca="1" si="7"/>
        <v>-22130.202501936827</v>
      </c>
      <c r="AK28" s="68">
        <f t="shared" ca="1" si="7"/>
        <v>-22323.841773828775</v>
      </c>
      <c r="AL28" s="68">
        <f t="shared" ca="1" si="7"/>
        <v>-22519.175389349777</v>
      </c>
      <c r="AM28" s="68">
        <f t="shared" ca="1" si="7"/>
        <v>6901.4648146498912</v>
      </c>
      <c r="AN28" s="68">
        <f t="shared" ca="1" si="7"/>
        <v>-23300.647368221922</v>
      </c>
      <c r="AO28" s="68">
        <f t="shared" ca="1" si="7"/>
        <v>-154260.21080430335</v>
      </c>
    </row>
    <row r="29" spans="1:41" ht="15" customHeight="1" x14ac:dyDescent="0.3">
      <c r="B29" s="7"/>
      <c r="C29" s="30"/>
      <c r="D29" s="30"/>
      <c r="E29" s="30"/>
      <c r="F29" s="30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</row>
    <row r="30" spans="1:41" ht="15" customHeight="1" x14ac:dyDescent="0.3">
      <c r="B30" s="7" t="s">
        <v>96</v>
      </c>
      <c r="C30" s="30">
        <f ca="1">SUM(C18,C22,C28)</f>
        <v>-16687.161383671191</v>
      </c>
      <c r="D30" s="30">
        <f t="shared" ref="D30:AO30" ca="1" si="8">SUM(D18,D22,D28)</f>
        <v>-7235.2527815205394</v>
      </c>
      <c r="E30" s="30">
        <f t="shared" ca="1" si="8"/>
        <v>23377.059046436414</v>
      </c>
      <c r="F30" s="30">
        <f t="shared" ca="1" si="8"/>
        <v>-8370.3065449615096</v>
      </c>
      <c r="G30" s="30">
        <f t="shared" ca="1" si="8"/>
        <v>122119.49696561394</v>
      </c>
      <c r="H30" s="30">
        <f t="shared" ca="1" si="8"/>
        <v>-106681.73663321267</v>
      </c>
      <c r="I30" s="30">
        <f t="shared" ca="1" si="8"/>
        <v>23290.787288194486</v>
      </c>
      <c r="J30" s="30">
        <f t="shared" ca="1" si="8"/>
        <v>35434.496965613798</v>
      </c>
      <c r="K30" s="30">
        <f t="shared" ca="1" si="8"/>
        <v>-38474.857873095709</v>
      </c>
      <c r="L30" s="30">
        <f t="shared" ca="1" si="8"/>
        <v>22952.91632045259</v>
      </c>
      <c r="M30" s="30">
        <f t="shared" ca="1" si="8"/>
        <v>45976.029223678466</v>
      </c>
      <c r="N30" s="30">
        <f t="shared" ca="1" si="8"/>
        <v>-19041.548099527077</v>
      </c>
      <c r="O30" s="30">
        <f t="shared" ca="1" si="8"/>
        <v>76659.922494001046</v>
      </c>
      <c r="P30" s="30">
        <f t="shared" ca="1" si="8"/>
        <v>-41166.393587381572</v>
      </c>
      <c r="Q30" s="30">
        <f t="shared" ca="1" si="8"/>
        <v>38207.996965613929</v>
      </c>
      <c r="R30" s="30">
        <f t="shared" ca="1" si="8"/>
        <v>6182.7389010977204</v>
      </c>
      <c r="S30" s="30">
        <f t="shared" ca="1" si="8"/>
        <v>86953.88816117098</v>
      </c>
      <c r="T30" s="30">
        <f t="shared" ca="1" si="8"/>
        <v>47861.63009665483</v>
      </c>
      <c r="U30" s="30">
        <f t="shared" ca="1" si="8"/>
        <v>8037.8848348841493</v>
      </c>
      <c r="V30" s="30">
        <f t="shared" ca="1" si="8"/>
        <v>-9904.4182904419704</v>
      </c>
      <c r="W30" s="30">
        <f t="shared" ca="1" si="8"/>
        <v>-35009.127967861306</v>
      </c>
      <c r="X30" s="30">
        <f t="shared" ca="1" si="8"/>
        <v>18414.909666547312</v>
      </c>
      <c r="Y30" s="30">
        <f t="shared" ca="1" si="8"/>
        <v>-6868.359150657092</v>
      </c>
      <c r="Z30" s="30">
        <f t="shared" ca="1" si="8"/>
        <v>2104.4849353645295</v>
      </c>
      <c r="AA30" s="30">
        <f t="shared" ca="1" si="8"/>
        <v>-44137.849400063526</v>
      </c>
      <c r="AB30" s="30">
        <f t="shared" ca="1" si="8"/>
        <v>70677.385164928157</v>
      </c>
      <c r="AC30" s="30">
        <f t="shared" ca="1" si="8"/>
        <v>73097.813276378249</v>
      </c>
      <c r="AD30" s="30">
        <f t="shared" ca="1" si="8"/>
        <v>-91188.805387216125</v>
      </c>
      <c r="AE30" s="30">
        <f t="shared" ca="1" si="8"/>
        <v>32615.872032138686</v>
      </c>
      <c r="AF30" s="30">
        <f t="shared" ca="1" si="8"/>
        <v>-15972.757000119378</v>
      </c>
      <c r="AG30" s="30">
        <f t="shared" ca="1" si="8"/>
        <v>67976.00692313473</v>
      </c>
      <c r="AH30" s="30">
        <f t="shared" ca="1" si="8"/>
        <v>-51212.660845498598</v>
      </c>
      <c r="AI30" s="30">
        <f t="shared" ca="1" si="8"/>
        <v>-2154.8156575104331</v>
      </c>
      <c r="AJ30" s="30">
        <f t="shared" ca="1" si="8"/>
        <v>50949.797245715352</v>
      </c>
      <c r="AK30" s="30">
        <f t="shared" ca="1" si="8"/>
        <v>-1553.7672704136749</v>
      </c>
      <c r="AL30" s="30">
        <f t="shared" ca="1" si="8"/>
        <v>-68624.767270413737</v>
      </c>
      <c r="AM30" s="30">
        <f t="shared" ca="1" si="8"/>
        <v>65479.302815017014</v>
      </c>
      <c r="AN30" s="30">
        <f t="shared" ca="1" si="8"/>
        <v>-84564.218122060833</v>
      </c>
      <c r="AO30" s="30">
        <f t="shared" ca="1" si="8"/>
        <v>-25152.999260848737</v>
      </c>
    </row>
    <row r="31" spans="1:41" ht="15" customHeight="1" x14ac:dyDescent="0.3">
      <c r="B31" s="7"/>
      <c r="C31" s="30"/>
      <c r="D31" s="30"/>
      <c r="E31" s="30"/>
      <c r="F31" s="30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5" customHeight="1" x14ac:dyDescent="0.3">
      <c r="B32" s="7" t="s">
        <v>97</v>
      </c>
      <c r="C32" s="30">
        <f>BalanceSheet!B10</f>
        <v>21000</v>
      </c>
      <c r="D32" s="30">
        <f t="shared" ref="D32:N32" ca="1" si="9">C34</f>
        <v>4312.8386163288087</v>
      </c>
      <c r="E32" s="30">
        <f t="shared" ca="1" si="9"/>
        <v>-2922.4141651917307</v>
      </c>
      <c r="F32" s="30">
        <f t="shared" ca="1" si="9"/>
        <v>20454.644881244683</v>
      </c>
      <c r="G32" s="30">
        <f t="shared" ca="1" si="9"/>
        <v>12084.338336283174</v>
      </c>
      <c r="H32" s="30">
        <f t="shared" ca="1" si="9"/>
        <v>134203.83530189711</v>
      </c>
      <c r="I32" s="30">
        <f t="shared" ca="1" si="9"/>
        <v>27522.098668684441</v>
      </c>
      <c r="J32" s="30">
        <f t="shared" ca="1" si="9"/>
        <v>50812.885956878927</v>
      </c>
      <c r="K32" s="30">
        <f t="shared" ca="1" si="9"/>
        <v>86247.382922492718</v>
      </c>
      <c r="L32" s="30">
        <f t="shared" ca="1" si="9"/>
        <v>47772.525049397009</v>
      </c>
      <c r="M32" s="30">
        <f t="shared" ca="1" si="9"/>
        <v>70725.441369849606</v>
      </c>
      <c r="N32" s="30">
        <f t="shared" ca="1" si="9"/>
        <v>116701.47059352807</v>
      </c>
      <c r="O32" s="30">
        <f>C32</f>
        <v>21000</v>
      </c>
      <c r="P32" s="30">
        <f t="shared" ref="P32:AA32" ca="1" si="10">O34</f>
        <v>97659.922494001046</v>
      </c>
      <c r="Q32" s="30">
        <f t="shared" ca="1" si="10"/>
        <v>56493.528906619475</v>
      </c>
      <c r="R32" s="30">
        <f t="shared" ca="1" si="10"/>
        <v>94701.525872233411</v>
      </c>
      <c r="S32" s="30">
        <f t="shared" ca="1" si="10"/>
        <v>100884.26477333113</v>
      </c>
      <c r="T32" s="30">
        <f t="shared" ca="1" si="10"/>
        <v>187838.15293450211</v>
      </c>
      <c r="U32" s="30">
        <f t="shared" ca="1" si="10"/>
        <v>235699.78303115693</v>
      </c>
      <c r="V32" s="30">
        <f t="shared" ca="1" si="10"/>
        <v>243737.66786604107</v>
      </c>
      <c r="W32" s="30">
        <f t="shared" ca="1" si="10"/>
        <v>233833.2495755991</v>
      </c>
      <c r="X32" s="30">
        <f t="shared" ca="1" si="10"/>
        <v>198824.12160773779</v>
      </c>
      <c r="Y32" s="30">
        <f t="shared" ca="1" si="10"/>
        <v>217239.03127428511</v>
      </c>
      <c r="Z32" s="30">
        <f t="shared" ca="1" si="10"/>
        <v>210370.67212362803</v>
      </c>
      <c r="AA32" s="30">
        <f t="shared" ca="1" si="10"/>
        <v>212475.15705899257</v>
      </c>
      <c r="AB32" s="30">
        <f ca="1">P32</f>
        <v>97659.922494001046</v>
      </c>
      <c r="AC32" s="30">
        <f t="shared" ref="AC32:AN32" ca="1" si="11">AB34</f>
        <v>168337.3076589292</v>
      </c>
      <c r="AD32" s="30">
        <f t="shared" ca="1" si="11"/>
        <v>241435.12093530747</v>
      </c>
      <c r="AE32" s="30">
        <f t="shared" ca="1" si="11"/>
        <v>150246.31554809134</v>
      </c>
      <c r="AF32" s="30">
        <f t="shared" ca="1" si="11"/>
        <v>182862.18758023003</v>
      </c>
      <c r="AG32" s="30">
        <f t="shared" ca="1" si="11"/>
        <v>166889.43058011067</v>
      </c>
      <c r="AH32" s="30">
        <f t="shared" ca="1" si="11"/>
        <v>234865.4375032454</v>
      </c>
      <c r="AI32" s="30">
        <f t="shared" ca="1" si="11"/>
        <v>183652.77665774681</v>
      </c>
      <c r="AJ32" s="30">
        <f t="shared" ca="1" si="11"/>
        <v>181497.96100023639</v>
      </c>
      <c r="AK32" s="30">
        <f t="shared" ca="1" si="11"/>
        <v>232447.75824595173</v>
      </c>
      <c r="AL32" s="30">
        <f t="shared" ca="1" si="11"/>
        <v>230893.99097553806</v>
      </c>
      <c r="AM32" s="30">
        <f t="shared" ca="1" si="11"/>
        <v>162269.22370512434</v>
      </c>
      <c r="AN32" s="30">
        <f t="shared" ca="1" si="11"/>
        <v>227748.52652014134</v>
      </c>
      <c r="AO32" s="30">
        <f ca="1">AC32</f>
        <v>168337.3076589292</v>
      </c>
    </row>
    <row r="33" spans="2:41" ht="15" customHeight="1" x14ac:dyDescent="0.3">
      <c r="B33" s="7"/>
      <c r="C33" s="30"/>
      <c r="D33" s="30"/>
      <c r="E33" s="30"/>
      <c r="F33" s="30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</row>
    <row r="34" spans="2:41" ht="15" customHeight="1" thickBot="1" x14ac:dyDescent="0.4">
      <c r="B34" s="2" t="s">
        <v>98</v>
      </c>
      <c r="C34" s="40">
        <f t="shared" ref="C34:AO34" ca="1" si="12">SUM(C30,C32)</f>
        <v>4312.8386163288087</v>
      </c>
      <c r="D34" s="40">
        <f t="shared" ca="1" si="12"/>
        <v>-2922.4141651917307</v>
      </c>
      <c r="E34" s="40">
        <f t="shared" ca="1" si="12"/>
        <v>20454.644881244683</v>
      </c>
      <c r="F34" s="40">
        <f t="shared" ca="1" si="12"/>
        <v>12084.338336283174</v>
      </c>
      <c r="G34" s="40">
        <f t="shared" ca="1" si="12"/>
        <v>134203.83530189711</v>
      </c>
      <c r="H34" s="40">
        <f t="shared" ca="1" si="12"/>
        <v>27522.098668684441</v>
      </c>
      <c r="I34" s="40">
        <f t="shared" ca="1" si="12"/>
        <v>50812.885956878927</v>
      </c>
      <c r="J34" s="40">
        <f t="shared" ca="1" si="12"/>
        <v>86247.382922492718</v>
      </c>
      <c r="K34" s="40">
        <f t="shared" ca="1" si="12"/>
        <v>47772.525049397009</v>
      </c>
      <c r="L34" s="40">
        <f t="shared" ca="1" si="12"/>
        <v>70725.441369849606</v>
      </c>
      <c r="M34" s="40">
        <f t="shared" ca="1" si="12"/>
        <v>116701.47059352807</v>
      </c>
      <c r="N34" s="40">
        <f t="shared" ca="1" si="12"/>
        <v>97659.922494000988</v>
      </c>
      <c r="O34" s="40">
        <f t="shared" ca="1" si="12"/>
        <v>97659.922494001046</v>
      </c>
      <c r="P34" s="40">
        <f t="shared" ca="1" si="12"/>
        <v>56493.528906619475</v>
      </c>
      <c r="Q34" s="40">
        <f t="shared" ca="1" si="12"/>
        <v>94701.525872233411</v>
      </c>
      <c r="R34" s="40">
        <f t="shared" ca="1" si="12"/>
        <v>100884.26477333113</v>
      </c>
      <c r="S34" s="40">
        <f t="shared" ca="1" si="12"/>
        <v>187838.15293450211</v>
      </c>
      <c r="T34" s="40">
        <f t="shared" ca="1" si="12"/>
        <v>235699.78303115693</v>
      </c>
      <c r="U34" s="40">
        <f t="shared" ca="1" si="12"/>
        <v>243737.66786604107</v>
      </c>
      <c r="V34" s="40">
        <f t="shared" ca="1" si="12"/>
        <v>233833.2495755991</v>
      </c>
      <c r="W34" s="40">
        <f t="shared" ca="1" si="12"/>
        <v>198824.12160773779</v>
      </c>
      <c r="X34" s="40">
        <f t="shared" ca="1" si="12"/>
        <v>217239.03127428511</v>
      </c>
      <c r="Y34" s="40">
        <f t="shared" ca="1" si="12"/>
        <v>210370.67212362803</v>
      </c>
      <c r="Z34" s="40">
        <f t="shared" ca="1" si="12"/>
        <v>212475.15705899257</v>
      </c>
      <c r="AA34" s="40">
        <f t="shared" ca="1" si="12"/>
        <v>168337.30765892903</v>
      </c>
      <c r="AB34" s="40">
        <f t="shared" ca="1" si="12"/>
        <v>168337.3076589292</v>
      </c>
      <c r="AC34" s="40">
        <f t="shared" ca="1" si="12"/>
        <v>241435.12093530747</v>
      </c>
      <c r="AD34" s="40">
        <f t="shared" ca="1" si="12"/>
        <v>150246.31554809134</v>
      </c>
      <c r="AE34" s="40">
        <f t="shared" ca="1" si="12"/>
        <v>182862.18758023003</v>
      </c>
      <c r="AF34" s="40">
        <f t="shared" ca="1" si="12"/>
        <v>166889.43058011067</v>
      </c>
      <c r="AG34" s="40">
        <f t="shared" ca="1" si="12"/>
        <v>234865.4375032454</v>
      </c>
      <c r="AH34" s="40">
        <f t="shared" ca="1" si="12"/>
        <v>183652.77665774681</v>
      </c>
      <c r="AI34" s="40">
        <f t="shared" ca="1" si="12"/>
        <v>181497.96100023639</v>
      </c>
      <c r="AJ34" s="40">
        <f t="shared" ca="1" si="12"/>
        <v>232447.75824595173</v>
      </c>
      <c r="AK34" s="40">
        <f t="shared" ca="1" si="12"/>
        <v>230893.99097553806</v>
      </c>
      <c r="AL34" s="40">
        <f t="shared" ca="1" si="12"/>
        <v>162269.22370512434</v>
      </c>
      <c r="AM34" s="40">
        <f t="shared" ca="1" si="12"/>
        <v>227748.52652014134</v>
      </c>
      <c r="AN34" s="40">
        <f t="shared" ca="1" si="12"/>
        <v>143184.30839808052</v>
      </c>
      <c r="AO34" s="40">
        <f t="shared" ca="1" si="12"/>
        <v>143184.30839808047</v>
      </c>
    </row>
    <row r="35" spans="2:41" ht="15" customHeight="1" thickTop="1" x14ac:dyDescent="0.3"/>
  </sheetData>
  <pageMargins left="0.55118110236220474" right="0.55118110236220474" top="0.59055118110236227" bottom="0.59055118110236227" header="0.39370078740157483" footer="0.39370078740157483"/>
  <pageSetup paperSize="9" scale="65" fitToWidth="3" orientation="landscape" r:id="rId1"/>
  <headerFooter>
    <oddFooter>&amp;C&amp;9Page &amp;P of &amp;N</oddFooter>
  </headerFooter>
  <colBreaks count="2" manualBreakCount="2">
    <brk id="15" max="33" man="1"/>
    <brk id="28" max="33" man="1"/>
  </colBreaks>
  <ignoredErrors>
    <ignoredError sqref="O15:O16 AB15:AB16 AO15 O32 AB3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35"/>
  <sheetViews>
    <sheetView zoomScale="95" zoomScaleNormal="95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.1328125" defaultRowHeight="15" customHeight="1" x14ac:dyDescent="0.3"/>
  <cols>
    <col min="1" max="1" width="35.73046875" style="7" customWidth="1"/>
    <col min="2" max="6" width="12.73046875" style="8" customWidth="1"/>
    <col min="7" max="38" width="12.73046875" style="5" customWidth="1"/>
    <col min="39" max="73" width="9.1328125" style="5" customWidth="1"/>
    <col min="74" max="16384" width="9.1328125" style="5"/>
  </cols>
  <sheetData>
    <row r="1" spans="1:38" x14ac:dyDescent="0.4">
      <c r="A1" s="1" t="str">
        <f>Assumptions!$B$4</f>
        <v>Example Trading Limited</v>
      </c>
      <c r="B1" s="3"/>
      <c r="N1" s="51"/>
      <c r="Z1" s="51"/>
      <c r="AL1" s="51"/>
    </row>
    <row r="2" spans="1:38" ht="15" customHeight="1" x14ac:dyDescent="0.35">
      <c r="A2" s="6" t="s">
        <v>81</v>
      </c>
      <c r="B2" s="3"/>
    </row>
    <row r="3" spans="1:38" ht="15" customHeight="1" x14ac:dyDescent="0.35">
      <c r="A3" s="20" t="s">
        <v>71</v>
      </c>
    </row>
    <row r="4" spans="1:38" s="53" customFormat="1" ht="18" customHeight="1" x14ac:dyDescent="0.35">
      <c r="A4" s="52"/>
      <c r="B4" s="23">
        <f ca="1">IF(ISBLANK(Assumptions!$B$5)=TRUE,DATE(YEAR(TODAY()),MONTH(TODAY()),0),DATE(YEAR(Assumptions!$B$5),MONTH(Assumptions!$B$5),0))</f>
        <v>42429</v>
      </c>
      <c r="C4" s="23">
        <f ca="1">IF(ISBLANK(Assumptions!$B$5)=TRUE,DATE(YEAR(TODAY()),MONTH(TODAY())+1,0),DATE(YEAR(Assumptions!$B$5),MONTH(Assumptions!$B$5)+1,0))</f>
        <v>42460</v>
      </c>
      <c r="D4" s="23">
        <f ca="1">DATE(YEAR(C4),MONTH(C4)+2,0)</f>
        <v>42490</v>
      </c>
      <c r="E4" s="23">
        <f t="shared" ref="E4:M4" ca="1" si="0">DATE(YEAR(D4),MONTH(D4)+2,0)</f>
        <v>42521</v>
      </c>
      <c r="F4" s="23">
        <f t="shared" ca="1" si="0"/>
        <v>42551</v>
      </c>
      <c r="G4" s="23">
        <f t="shared" ca="1" si="0"/>
        <v>42582</v>
      </c>
      <c r="H4" s="23">
        <f t="shared" ca="1" si="0"/>
        <v>42613</v>
      </c>
      <c r="I4" s="23">
        <f t="shared" ca="1" si="0"/>
        <v>42643</v>
      </c>
      <c r="J4" s="23">
        <f t="shared" ca="1" si="0"/>
        <v>42674</v>
      </c>
      <c r="K4" s="23">
        <f t="shared" ca="1" si="0"/>
        <v>42704</v>
      </c>
      <c r="L4" s="23">
        <f t="shared" ca="1" si="0"/>
        <v>42735</v>
      </c>
      <c r="M4" s="23">
        <f t="shared" ca="1" si="0"/>
        <v>42766</v>
      </c>
      <c r="N4" s="23">
        <f ca="1">DATE(YEAR(M4),MONTH(M4)+2,0)</f>
        <v>42794</v>
      </c>
      <c r="O4" s="23">
        <f ca="1">DATE(YEAR(N4),MONTH(N4)+2,0)</f>
        <v>42825</v>
      </c>
      <c r="P4" s="23">
        <f t="shared" ref="P4:Z4" ca="1" si="1">DATE(YEAR(O4),MONTH(O4)+2,0)</f>
        <v>42855</v>
      </c>
      <c r="Q4" s="23">
        <f t="shared" ca="1" si="1"/>
        <v>42886</v>
      </c>
      <c r="R4" s="23">
        <f t="shared" ca="1" si="1"/>
        <v>42916</v>
      </c>
      <c r="S4" s="23">
        <f t="shared" ca="1" si="1"/>
        <v>42947</v>
      </c>
      <c r="T4" s="23">
        <f t="shared" ca="1" si="1"/>
        <v>42978</v>
      </c>
      <c r="U4" s="23">
        <f t="shared" ca="1" si="1"/>
        <v>43008</v>
      </c>
      <c r="V4" s="23">
        <f t="shared" ca="1" si="1"/>
        <v>43039</v>
      </c>
      <c r="W4" s="23">
        <f t="shared" ca="1" si="1"/>
        <v>43069</v>
      </c>
      <c r="X4" s="23">
        <f t="shared" ca="1" si="1"/>
        <v>43100</v>
      </c>
      <c r="Y4" s="23">
        <f t="shared" ca="1" si="1"/>
        <v>43131</v>
      </c>
      <c r="Z4" s="23">
        <f t="shared" ca="1" si="1"/>
        <v>43159</v>
      </c>
      <c r="AA4" s="23">
        <f ca="1">DATE(YEAR(Z4),MONTH(Z4)+2,0)</f>
        <v>43190</v>
      </c>
      <c r="AB4" s="23">
        <f t="shared" ref="AB4:AL4" ca="1" si="2">DATE(YEAR(AA4),MONTH(AA4)+2,0)</f>
        <v>43220</v>
      </c>
      <c r="AC4" s="23">
        <f t="shared" ca="1" si="2"/>
        <v>43251</v>
      </c>
      <c r="AD4" s="23">
        <f t="shared" ca="1" si="2"/>
        <v>43281</v>
      </c>
      <c r="AE4" s="23">
        <f t="shared" ca="1" si="2"/>
        <v>43312</v>
      </c>
      <c r="AF4" s="23">
        <f t="shared" ca="1" si="2"/>
        <v>43343</v>
      </c>
      <c r="AG4" s="23">
        <f t="shared" ca="1" si="2"/>
        <v>43373</v>
      </c>
      <c r="AH4" s="23">
        <f t="shared" ca="1" si="2"/>
        <v>43404</v>
      </c>
      <c r="AI4" s="23">
        <f t="shared" ca="1" si="2"/>
        <v>43434</v>
      </c>
      <c r="AJ4" s="23">
        <f t="shared" ca="1" si="2"/>
        <v>43465</v>
      </c>
      <c r="AK4" s="23">
        <f t="shared" ca="1" si="2"/>
        <v>43496</v>
      </c>
      <c r="AL4" s="23">
        <f t="shared" ca="1" si="2"/>
        <v>43524</v>
      </c>
    </row>
    <row r="5" spans="1:38" s="11" customFormat="1" ht="15" customHeight="1" x14ac:dyDescent="0.35">
      <c r="A5" s="2" t="s">
        <v>37</v>
      </c>
      <c r="B5" s="28"/>
      <c r="C5" s="27"/>
      <c r="D5" s="28"/>
      <c r="E5" s="28"/>
      <c r="F5" s="28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5" customHeight="1" x14ac:dyDescent="0.3">
      <c r="A6" s="7" t="s">
        <v>60</v>
      </c>
      <c r="B6" s="30">
        <f>Assumptions!$B$17</f>
        <v>800000</v>
      </c>
      <c r="C6" s="30">
        <f>B6-CashFlow!C21-CashFlow!C10</f>
        <v>786666.66666666663</v>
      </c>
      <c r="D6" s="30">
        <f>C6-CashFlow!D21-CashFlow!D10</f>
        <v>773333.33333333326</v>
      </c>
      <c r="E6" s="30">
        <f>D6-CashFlow!E21-CashFlow!E10</f>
        <v>809166.66666666663</v>
      </c>
      <c r="F6" s="30">
        <f>E6-CashFlow!F21-CashFlow!F10</f>
        <v>795000</v>
      </c>
      <c r="G6" s="30">
        <f>F6-CashFlow!G21-CashFlow!G10</f>
        <v>780833.33333333337</v>
      </c>
      <c r="H6" s="30">
        <f>G6-CashFlow!H21-CashFlow!H10</f>
        <v>840416.66666666674</v>
      </c>
      <c r="I6" s="30">
        <f>H6-CashFlow!I21-CashFlow!I10</f>
        <v>825000.00000000012</v>
      </c>
      <c r="J6" s="30">
        <f>I6-CashFlow!J21-CashFlow!J10</f>
        <v>809583.33333333349</v>
      </c>
      <c r="K6" s="30">
        <f>J6-CashFlow!K21-CashFlow!K10</f>
        <v>794166.66666666686</v>
      </c>
      <c r="L6" s="30">
        <f>K6-CashFlow!L21-CashFlow!L10</f>
        <v>778750.00000000023</v>
      </c>
      <c r="M6" s="30">
        <f>L6-CashFlow!M21-CashFlow!M10</f>
        <v>763333.3333333336</v>
      </c>
      <c r="N6" s="30">
        <f>M6-CashFlow!N21-CashFlow!N10</f>
        <v>747916.66666666698</v>
      </c>
      <c r="O6" s="30">
        <f>N6-CashFlow!P21-CashFlow!P10</f>
        <v>809201.38888888923</v>
      </c>
      <c r="P6" s="30">
        <f>O6-CashFlow!Q21-CashFlow!Q10</f>
        <v>795486.11111111147</v>
      </c>
      <c r="Q6" s="30">
        <f>P6-CashFlow!R21-CashFlow!R10</f>
        <v>781770.83333333372</v>
      </c>
      <c r="R6" s="30">
        <f>Q6-CashFlow!S21-CashFlow!S10</f>
        <v>768055.55555555597</v>
      </c>
      <c r="S6" s="30">
        <f>R6-CashFlow!T21-CashFlow!T10</f>
        <v>754340.27777777822</v>
      </c>
      <c r="T6" s="30">
        <f>S6-CashFlow!U21-CashFlow!U10</f>
        <v>740625.00000000047</v>
      </c>
      <c r="U6" s="30">
        <f>T6-CashFlow!V21-CashFlow!V10</f>
        <v>726909.72222222271</v>
      </c>
      <c r="V6" s="30">
        <f>U6-CashFlow!W21-CashFlow!W10</f>
        <v>742694.44444444496</v>
      </c>
      <c r="W6" s="30">
        <f>V6-CashFlow!X21-CashFlow!X10</f>
        <v>728479.16666666721</v>
      </c>
      <c r="X6" s="30">
        <f>W6-CashFlow!Y21-CashFlow!Y10</f>
        <v>714263.88888888946</v>
      </c>
      <c r="Y6" s="30">
        <f>X6-CashFlow!Z21-CashFlow!Z10</f>
        <v>700048.61111111171</v>
      </c>
      <c r="Z6" s="30">
        <f>Y6-CashFlow!AA21-CashFlow!AA10</f>
        <v>685833.33333333395</v>
      </c>
      <c r="AA6" s="30">
        <f>Z6-CashFlow!AC21-CashFlow!AC10</f>
        <v>674402.77777777833</v>
      </c>
      <c r="AB6" s="30">
        <f>AA6-CashFlow!AD21-CashFlow!AD10</f>
        <v>743605.55555555609</v>
      </c>
      <c r="AC6" s="30">
        <f>AB6-CashFlow!AE21-CashFlow!AE10</f>
        <v>730808.33333333384</v>
      </c>
      <c r="AD6" s="30">
        <f>AC6-CashFlow!AF21-CashFlow!AF10</f>
        <v>718011.11111111159</v>
      </c>
      <c r="AE6" s="30">
        <f>AD6-CashFlow!AG21-CashFlow!AG10</f>
        <v>705213.88888888934</v>
      </c>
      <c r="AF6" s="30">
        <f>AE6-CashFlow!AH21-CashFlow!AH10</f>
        <v>692416.66666666709</v>
      </c>
      <c r="AG6" s="30">
        <f>AF6-CashFlow!AI21-CashFlow!AI10</f>
        <v>679619.44444444485</v>
      </c>
      <c r="AH6" s="30">
        <f>AG6-CashFlow!AJ21-CashFlow!AJ10</f>
        <v>666822.2222222226</v>
      </c>
      <c r="AI6" s="30">
        <f>AH6-CashFlow!AK21-CashFlow!AK10</f>
        <v>654025.00000000035</v>
      </c>
      <c r="AJ6" s="30">
        <f>AI6-CashFlow!AL21-CashFlow!AL10</f>
        <v>734644.44444444473</v>
      </c>
      <c r="AK6" s="30">
        <f>AJ6-CashFlow!AM21-CashFlow!AM10</f>
        <v>720263.88888888911</v>
      </c>
      <c r="AL6" s="30">
        <f>AK6-CashFlow!AN21-CashFlow!AN10</f>
        <v>705883.33333333349</v>
      </c>
    </row>
    <row r="7" spans="1:38" ht="15" customHeight="1" x14ac:dyDescent="0.35">
      <c r="A7" s="19" t="s">
        <v>38</v>
      </c>
      <c r="B7" s="30"/>
      <c r="C7" s="30"/>
      <c r="D7" s="30"/>
      <c r="E7" s="30"/>
      <c r="F7" s="30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pans="1:38" ht="15" customHeight="1" x14ac:dyDescent="0.3">
      <c r="A8" s="15" t="s">
        <v>28</v>
      </c>
      <c r="B8" s="30">
        <f>Assumptions!$B$18</f>
        <v>140000</v>
      </c>
      <c r="C8" s="30">
        <f ca="1">IncState!C$7/C21*Assumptions!$B$13</f>
        <v>157258.06451612903</v>
      </c>
      <c r="D8" s="30">
        <f ca="1">IncState!D$7/D21*Assumptions!$B$13</f>
        <v>181333.33333333331</v>
      </c>
      <c r="E8" s="30">
        <f ca="1">IncState!E$7/E21*Assumptions!$B$13</f>
        <v>167741.93548387097</v>
      </c>
      <c r="F8" s="30">
        <f ca="1">IncState!F$7/F21*Assumptions!$B$13</f>
        <v>171200</v>
      </c>
      <c r="G8" s="30">
        <f ca="1">IncState!G$7/G21*Assumptions!$B$13</f>
        <v>154959.67741935482</v>
      </c>
      <c r="H8" s="30">
        <f ca="1">IncState!H$7/H21*Assumptions!$B$13</f>
        <v>162580.6451612903</v>
      </c>
      <c r="I8" s="30">
        <f ca="1">IncState!I$7/I21*Assumptions!$B$13</f>
        <v>165375</v>
      </c>
      <c r="J8" s="30">
        <f ca="1">IncState!J$7/J21*Assumptions!$B$13</f>
        <v>152419.3548387097</v>
      </c>
      <c r="K8" s="30">
        <f ca="1">IncState!K$7/K21*Assumptions!$B$13</f>
        <v>168000</v>
      </c>
      <c r="L8" s="30">
        <f ca="1">IncState!L$7/L21*Assumptions!$B$13</f>
        <v>167661.29032258064</v>
      </c>
      <c r="M8" s="30">
        <f ca="1">IncState!M$7/M21*Assumptions!$B$13</f>
        <v>166645.16129032258</v>
      </c>
      <c r="N8" s="30">
        <f ca="1">IncState!N$7/N21*Assumptions!$B$13</f>
        <v>174375</v>
      </c>
      <c r="O8" s="30">
        <f ca="1">IncState!P$7/O21*Assumptions!$B$13</f>
        <v>177822.5806451613</v>
      </c>
      <c r="P8" s="30">
        <f ca="1">IncState!Q$7/P21*Assumptions!$B$13</f>
        <v>168000</v>
      </c>
      <c r="Q8" s="30">
        <f ca="1">IncState!R$7/Q21*Assumptions!$B$13</f>
        <v>175282.25806451612</v>
      </c>
      <c r="R8" s="30">
        <f ca="1">IncState!S$7/R21*Assumptions!$B$13</f>
        <v>185850</v>
      </c>
      <c r="S8" s="30">
        <f ca="1">IncState!T$7/S21*Assumptions!$B$13</f>
        <v>176298.38709677418</v>
      </c>
      <c r="T8" s="30">
        <f ca="1">IncState!U$7/T21*Assumptions!$B$13</f>
        <v>155000</v>
      </c>
      <c r="U8" s="30">
        <f ca="1">IncState!V$7/U21*Assumptions!$B$13</f>
        <v>162750</v>
      </c>
      <c r="V8" s="30">
        <f ca="1">IncState!W$7/V21*Assumptions!$B$13</f>
        <v>175000</v>
      </c>
      <c r="W8" s="30">
        <f ca="1">IncState!X$7/W21*Assumptions!$B$13</f>
        <v>174633.33333333331</v>
      </c>
      <c r="X8" s="30">
        <f ca="1">IncState!Y$7/X21*Assumptions!$B$13</f>
        <v>181000</v>
      </c>
      <c r="Y8" s="30">
        <f ca="1">IncState!Z$7/Y21*Assumptions!$B$13</f>
        <v>178500</v>
      </c>
      <c r="Z8" s="30">
        <f ca="1">IncState!AA$7/Z21*Assumptions!$B$13</f>
        <v>192258.92857142858</v>
      </c>
      <c r="AA8" s="30">
        <f ca="1">IncState!AC$7/AA21*Assumptions!$B$13</f>
        <v>175161.29032258064</v>
      </c>
      <c r="AB8" s="30">
        <f ca="1">IncState!AD$7/AB21*Assumptions!$B$13</f>
        <v>184000</v>
      </c>
      <c r="AC8" s="30">
        <f ca="1">IncState!AE$7/AC21*Assumptions!$B$13</f>
        <v>168870.96774193548</v>
      </c>
      <c r="AD8" s="30">
        <f ca="1">IncState!AF$7/AD21*Assumptions!$B$13</f>
        <v>185000</v>
      </c>
      <c r="AE8" s="30">
        <f ca="1">IncState!AG$7/AE21*Assumptions!$B$13</f>
        <v>176129.03225806452</v>
      </c>
      <c r="AF8" s="30">
        <f ca="1">IncState!AH$7/AF21*Assumptions!$B$13</f>
        <v>184354.83870967742</v>
      </c>
      <c r="AG8" s="30">
        <f ca="1">IncState!AI$7/AG21*Assumptions!$B$13</f>
        <v>194500</v>
      </c>
      <c r="AH8" s="30">
        <f ca="1">IncState!AJ$7/AH21*Assumptions!$B$13</f>
        <v>180000</v>
      </c>
      <c r="AI8" s="30">
        <f ca="1">IncState!AK$7/AI21*Assumptions!$B$13</f>
        <v>190000</v>
      </c>
      <c r="AJ8" s="30">
        <f ca="1">IncState!AL$7/AJ21*Assumptions!$B$13</f>
        <v>186290.32258064518</v>
      </c>
      <c r="AK8" s="30">
        <f ca="1">IncState!AM$7/AK21*Assumptions!$B$13</f>
        <v>180967.74193548388</v>
      </c>
      <c r="AL8" s="30">
        <f ca="1">IncState!AN$7/AL21*Assumptions!$B$13</f>
        <v>208928.57142857142</v>
      </c>
    </row>
    <row r="9" spans="1:38" ht="15" customHeight="1" x14ac:dyDescent="0.3">
      <c r="A9" s="15" t="s">
        <v>99</v>
      </c>
      <c r="B9" s="30">
        <f>Assumptions!$B$19</f>
        <v>250000</v>
      </c>
      <c r="C9" s="30">
        <f ca="1">IncState!C$5/C21*Assumptions!$B$14</f>
        <v>290322.58064516133</v>
      </c>
      <c r="D9" s="30">
        <f ca="1">IncState!D$5/D21*Assumptions!$B$14</f>
        <v>340000</v>
      </c>
      <c r="E9" s="30">
        <f ca="1">IncState!E$5/E21*Assumptions!$B$14</f>
        <v>309677.41935483867</v>
      </c>
      <c r="F9" s="30">
        <f ca="1">IncState!F$5/F21*Assumptions!$B$14</f>
        <v>321000</v>
      </c>
      <c r="G9" s="30">
        <f ca="1">IncState!G$5/G21*Assumptions!$B$14</f>
        <v>295161.29032258061</v>
      </c>
      <c r="H9" s="30">
        <f ca="1">IncState!H$5/H21*Assumptions!$B$14</f>
        <v>309677.41935483867</v>
      </c>
      <c r="I9" s="30">
        <f ca="1">IncState!I$5/I21*Assumptions!$B$14</f>
        <v>315000</v>
      </c>
      <c r="J9" s="30">
        <f ca="1">IncState!J$5/J21*Assumptions!$B$14</f>
        <v>290322.58064516133</v>
      </c>
      <c r="K9" s="30">
        <f ca="1">IncState!K$5/K21*Assumptions!$B$14</f>
        <v>320000</v>
      </c>
      <c r="L9" s="30">
        <f ca="1">IncState!L$5/L21*Assumptions!$B$14</f>
        <v>319354.83870967745</v>
      </c>
      <c r="M9" s="30">
        <f ca="1">IncState!M$5/M21*Assumptions!$B$14</f>
        <v>317419.35483870964</v>
      </c>
      <c r="N9" s="30">
        <f ca="1">IncState!N$5/N21*Assumptions!$B$14</f>
        <v>332142.8571428571</v>
      </c>
      <c r="O9" s="30">
        <f ca="1">IncState!P$5/O21*Assumptions!$B$14</f>
        <v>338709.67741935485</v>
      </c>
      <c r="P9" s="30">
        <f ca="1">IncState!Q$5/P21*Assumptions!$B$14</f>
        <v>320000</v>
      </c>
      <c r="Q9" s="30">
        <f ca="1">IncState!R$5/Q21*Assumptions!$B$14</f>
        <v>333870.96774193551</v>
      </c>
      <c r="R9" s="30">
        <f ca="1">IncState!S$5/R21*Assumptions!$B$14</f>
        <v>354000</v>
      </c>
      <c r="S9" s="30">
        <f ca="1">IncState!T$5/S21*Assumptions!$B$14</f>
        <v>335806.45161290321</v>
      </c>
      <c r="T9" s="30">
        <f ca="1">IncState!U$5/T21*Assumptions!$B$14</f>
        <v>300000</v>
      </c>
      <c r="U9" s="30">
        <f ca="1">IncState!V$5/U21*Assumptions!$B$14</f>
        <v>315000</v>
      </c>
      <c r="V9" s="30">
        <f ca="1">IncState!W$5/V21*Assumptions!$B$14</f>
        <v>338709.67741935485</v>
      </c>
      <c r="W9" s="30">
        <f ca="1">IncState!X$5/W21*Assumptions!$B$14</f>
        <v>338000</v>
      </c>
      <c r="X9" s="30">
        <f ca="1">IncState!Y$5/X21*Assumptions!$B$14</f>
        <v>350322.58064516133</v>
      </c>
      <c r="Y9" s="30">
        <f ca="1">IncState!Z$5/Y21*Assumptions!$B$14</f>
        <v>345483.87096774194</v>
      </c>
      <c r="Z9" s="30">
        <f ca="1">IncState!AA$5/Z21*Assumptions!$B$14</f>
        <v>378214.28571428568</v>
      </c>
      <c r="AA9" s="30">
        <f ca="1">IncState!AC$5/AA21*Assumptions!$B$14</f>
        <v>350322.58064516133</v>
      </c>
      <c r="AB9" s="30">
        <f ca="1">IncState!AD$5/AB21*Assumptions!$B$14</f>
        <v>368000</v>
      </c>
      <c r="AC9" s="30">
        <f ca="1">IncState!AE$5/AC21*Assumptions!$B$14</f>
        <v>337741.93548387097</v>
      </c>
      <c r="AD9" s="30">
        <f ca="1">IncState!AF$5/AD21*Assumptions!$B$14</f>
        <v>370000</v>
      </c>
      <c r="AE9" s="30">
        <f ca="1">IncState!AG$5/AE21*Assumptions!$B$14</f>
        <v>352258.06451612903</v>
      </c>
      <c r="AF9" s="30">
        <f ca="1">IncState!AH$5/AF21*Assumptions!$B$14</f>
        <v>368709.67741935485</v>
      </c>
      <c r="AG9" s="30">
        <f ca="1">IncState!AI$5/AG21*Assumptions!$B$14</f>
        <v>389000</v>
      </c>
      <c r="AH9" s="30">
        <f ca="1">IncState!AJ$5/AH21*Assumptions!$B$14</f>
        <v>360000</v>
      </c>
      <c r="AI9" s="30">
        <f ca="1">IncState!AK$5/AI21*Assumptions!$B$14</f>
        <v>380000</v>
      </c>
      <c r="AJ9" s="30">
        <f ca="1">IncState!AL$5/AJ21*Assumptions!$B$14</f>
        <v>372580.64516129036</v>
      </c>
      <c r="AK9" s="30">
        <f ca="1">IncState!AM$5/AK21*Assumptions!$B$14</f>
        <v>361935.48387096776</v>
      </c>
      <c r="AL9" s="30">
        <f ca="1">IncState!AN$5/AL21*Assumptions!$B$14</f>
        <v>417857.1428571429</v>
      </c>
    </row>
    <row r="10" spans="1:38" ht="15" customHeight="1" x14ac:dyDescent="0.3">
      <c r="A10" s="15" t="s">
        <v>39</v>
      </c>
      <c r="B10" s="30">
        <f>Assumptions!$B$20</f>
        <v>21000</v>
      </c>
      <c r="C10" s="30">
        <f ca="1">CashFlow!C34</f>
        <v>4312.8386163288087</v>
      </c>
      <c r="D10" s="30">
        <f ca="1">CashFlow!D34</f>
        <v>-2922.4141651917307</v>
      </c>
      <c r="E10" s="30">
        <f ca="1">CashFlow!E34</f>
        <v>20454.644881244683</v>
      </c>
      <c r="F10" s="30">
        <f ca="1">CashFlow!F34</f>
        <v>12084.338336283174</v>
      </c>
      <c r="G10" s="30">
        <f ca="1">CashFlow!G34</f>
        <v>134203.83530189711</v>
      </c>
      <c r="H10" s="30">
        <f ca="1">CashFlow!H34</f>
        <v>27522.098668684441</v>
      </c>
      <c r="I10" s="30">
        <f ca="1">CashFlow!I34</f>
        <v>50812.885956878927</v>
      </c>
      <c r="J10" s="30">
        <f ca="1">CashFlow!J34</f>
        <v>86247.382922492718</v>
      </c>
      <c r="K10" s="30">
        <f ca="1">CashFlow!K34</f>
        <v>47772.525049397009</v>
      </c>
      <c r="L10" s="30">
        <f ca="1">CashFlow!L34</f>
        <v>70725.441369849606</v>
      </c>
      <c r="M10" s="30">
        <f ca="1">CashFlow!M34</f>
        <v>116701.47059352807</v>
      </c>
      <c r="N10" s="30">
        <f ca="1">CashFlow!N34</f>
        <v>97659.922494000988</v>
      </c>
      <c r="O10" s="30">
        <f ca="1">CashFlow!P34</f>
        <v>56493.528906619475</v>
      </c>
      <c r="P10" s="30">
        <f ca="1">CashFlow!Q34</f>
        <v>94701.525872233411</v>
      </c>
      <c r="Q10" s="30">
        <f ca="1">CashFlow!R34</f>
        <v>100884.26477333113</v>
      </c>
      <c r="R10" s="30">
        <f ca="1">CashFlow!S34</f>
        <v>187838.15293450211</v>
      </c>
      <c r="S10" s="30">
        <f ca="1">CashFlow!T34</f>
        <v>235699.78303115693</v>
      </c>
      <c r="T10" s="30">
        <f ca="1">CashFlow!U34</f>
        <v>243737.66786604107</v>
      </c>
      <c r="U10" s="30">
        <f ca="1">CashFlow!V34</f>
        <v>233833.2495755991</v>
      </c>
      <c r="V10" s="30">
        <f ca="1">CashFlow!W34</f>
        <v>198824.12160773779</v>
      </c>
      <c r="W10" s="30">
        <f ca="1">CashFlow!X34</f>
        <v>217239.03127428511</v>
      </c>
      <c r="X10" s="30">
        <f ca="1">CashFlow!Y34</f>
        <v>210370.67212362803</v>
      </c>
      <c r="Y10" s="30">
        <f ca="1">CashFlow!Z34</f>
        <v>212475.15705899257</v>
      </c>
      <c r="Z10" s="30">
        <f ca="1">CashFlow!AA34</f>
        <v>168337.30765892903</v>
      </c>
      <c r="AA10" s="30">
        <f ca="1">CashFlow!AC34</f>
        <v>241435.12093530747</v>
      </c>
      <c r="AB10" s="30">
        <f ca="1">CashFlow!AD34</f>
        <v>150246.31554809134</v>
      </c>
      <c r="AC10" s="30">
        <f ca="1">CashFlow!AE34</f>
        <v>182862.18758023003</v>
      </c>
      <c r="AD10" s="30">
        <f ca="1">CashFlow!AF34</f>
        <v>166889.43058011067</v>
      </c>
      <c r="AE10" s="30">
        <f ca="1">CashFlow!AG34</f>
        <v>234865.4375032454</v>
      </c>
      <c r="AF10" s="30">
        <f ca="1">CashFlow!AH34</f>
        <v>183652.77665774681</v>
      </c>
      <c r="AG10" s="30">
        <f ca="1">CashFlow!AI34</f>
        <v>181497.96100023639</v>
      </c>
      <c r="AH10" s="30">
        <f ca="1">CashFlow!AJ34</f>
        <v>232447.75824595173</v>
      </c>
      <c r="AI10" s="30">
        <f ca="1">CashFlow!AK34</f>
        <v>230893.99097553806</v>
      </c>
      <c r="AJ10" s="30">
        <f ca="1">CashFlow!AL34</f>
        <v>162269.22370512434</v>
      </c>
      <c r="AK10" s="30">
        <f ca="1">CashFlow!AM34</f>
        <v>227748.52652014134</v>
      </c>
      <c r="AL10" s="30">
        <f ca="1">CashFlow!AN34</f>
        <v>143184.30839808052</v>
      </c>
    </row>
    <row r="11" spans="1:38" s="11" customFormat="1" ht="15" customHeight="1" thickBot="1" x14ac:dyDescent="0.4">
      <c r="A11" s="2"/>
      <c r="B11" s="40">
        <f>SUM(B6:B10)</f>
        <v>1211000</v>
      </c>
      <c r="C11" s="40">
        <f t="shared" ref="C11:AL11" ca="1" si="3">SUM(C6:C10)</f>
        <v>1238560.1504442859</v>
      </c>
      <c r="D11" s="40">
        <f t="shared" ca="1" si="3"/>
        <v>1291744.2525014747</v>
      </c>
      <c r="E11" s="40">
        <f t="shared" ca="1" si="3"/>
        <v>1307040.6663866211</v>
      </c>
      <c r="F11" s="40">
        <f t="shared" ca="1" si="3"/>
        <v>1299284.3383362831</v>
      </c>
      <c r="G11" s="40">
        <f t="shared" ca="1" si="3"/>
        <v>1365158.1363771658</v>
      </c>
      <c r="H11" s="40">
        <f t="shared" ca="1" si="3"/>
        <v>1340196.8298514802</v>
      </c>
      <c r="I11" s="40">
        <f t="shared" ca="1" si="3"/>
        <v>1356187.885956879</v>
      </c>
      <c r="J11" s="40">
        <f t="shared" ca="1" si="3"/>
        <v>1338572.6517396972</v>
      </c>
      <c r="K11" s="40">
        <f t="shared" ca="1" si="3"/>
        <v>1329939.191716064</v>
      </c>
      <c r="L11" s="40">
        <f t="shared" ca="1" si="3"/>
        <v>1336491.5704021081</v>
      </c>
      <c r="M11" s="40">
        <f t="shared" ca="1" si="3"/>
        <v>1364099.3200558939</v>
      </c>
      <c r="N11" s="40">
        <f t="shared" ca="1" si="3"/>
        <v>1352094.446303525</v>
      </c>
      <c r="O11" s="40">
        <f t="shared" ca="1" si="3"/>
        <v>1382227.1758600248</v>
      </c>
      <c r="P11" s="40">
        <f t="shared" ca="1" si="3"/>
        <v>1378187.6369833448</v>
      </c>
      <c r="Q11" s="40">
        <f t="shared" ca="1" si="3"/>
        <v>1391808.3239131165</v>
      </c>
      <c r="R11" s="40">
        <f t="shared" ca="1" si="3"/>
        <v>1495743.7084900581</v>
      </c>
      <c r="S11" s="40">
        <f t="shared" ca="1" si="3"/>
        <v>1502144.8995186125</v>
      </c>
      <c r="T11" s="40">
        <f t="shared" ca="1" si="3"/>
        <v>1439362.6678660414</v>
      </c>
      <c r="U11" s="40">
        <f t="shared" ca="1" si="3"/>
        <v>1438492.9717978218</v>
      </c>
      <c r="V11" s="40">
        <f t="shared" ca="1" si="3"/>
        <v>1455228.2434715377</v>
      </c>
      <c r="W11" s="40">
        <f t="shared" ca="1" si="3"/>
        <v>1458351.5312742856</v>
      </c>
      <c r="X11" s="40">
        <f t="shared" ca="1" si="3"/>
        <v>1455957.1416576786</v>
      </c>
      <c r="Y11" s="40">
        <f t="shared" ca="1" si="3"/>
        <v>1436507.6391378462</v>
      </c>
      <c r="Z11" s="40">
        <f t="shared" ca="1" si="3"/>
        <v>1424643.8552779774</v>
      </c>
      <c r="AA11" s="40">
        <f t="shared" ca="1" si="3"/>
        <v>1441321.7696808279</v>
      </c>
      <c r="AB11" s="40">
        <f t="shared" ca="1" si="3"/>
        <v>1445851.8711036474</v>
      </c>
      <c r="AC11" s="40">
        <f t="shared" ca="1" si="3"/>
        <v>1420283.4241393702</v>
      </c>
      <c r="AD11" s="40">
        <f t="shared" ca="1" si="3"/>
        <v>1439900.5416912222</v>
      </c>
      <c r="AE11" s="40">
        <f t="shared" ca="1" si="3"/>
        <v>1468466.4231663283</v>
      </c>
      <c r="AF11" s="40">
        <f t="shared" ca="1" si="3"/>
        <v>1429133.9594534463</v>
      </c>
      <c r="AG11" s="40">
        <f t="shared" ca="1" si="3"/>
        <v>1444617.4054446814</v>
      </c>
      <c r="AH11" s="40">
        <f t="shared" ca="1" si="3"/>
        <v>1439269.9804681742</v>
      </c>
      <c r="AI11" s="40">
        <f t="shared" ca="1" si="3"/>
        <v>1454918.9909755385</v>
      </c>
      <c r="AJ11" s="40">
        <f t="shared" ca="1" si="3"/>
        <v>1455784.6358915046</v>
      </c>
      <c r="AK11" s="40">
        <f t="shared" ca="1" si="3"/>
        <v>1490915.6412154823</v>
      </c>
      <c r="AL11" s="40">
        <f t="shared" ca="1" si="3"/>
        <v>1475853.3560171283</v>
      </c>
    </row>
    <row r="12" spans="1:38" ht="15" customHeight="1" thickTop="1" x14ac:dyDescent="0.35">
      <c r="A12" s="2" t="s">
        <v>40</v>
      </c>
      <c r="B12" s="30"/>
      <c r="C12" s="30"/>
      <c r="D12" s="30"/>
      <c r="E12" s="30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1:38" ht="15" customHeight="1" x14ac:dyDescent="0.3">
      <c r="A13" s="7" t="s">
        <v>0</v>
      </c>
      <c r="B13" s="30">
        <f>-Assumptions!$B$21</f>
        <v>1000</v>
      </c>
      <c r="C13" s="30">
        <f>B13+CashFlow!C25</f>
        <v>1000</v>
      </c>
      <c r="D13" s="30">
        <f>C13+CashFlow!D25</f>
        <v>1000</v>
      </c>
      <c r="E13" s="30">
        <f>D13+CashFlow!E25</f>
        <v>1000</v>
      </c>
      <c r="F13" s="30">
        <f>E13+CashFlow!F25</f>
        <v>1500</v>
      </c>
      <c r="G13" s="30">
        <f>F13+CashFlow!G25</f>
        <v>1500</v>
      </c>
      <c r="H13" s="30">
        <f>G13+CashFlow!H25</f>
        <v>1500</v>
      </c>
      <c r="I13" s="30">
        <f>H13+CashFlow!I25</f>
        <v>1500</v>
      </c>
      <c r="J13" s="30">
        <f>I13+CashFlow!J25</f>
        <v>1500</v>
      </c>
      <c r="K13" s="30">
        <f>J13+CashFlow!K25</f>
        <v>1500</v>
      </c>
      <c r="L13" s="30">
        <f>K13+CashFlow!L25</f>
        <v>1500</v>
      </c>
      <c r="M13" s="30">
        <f>L13+CashFlow!M25</f>
        <v>1500</v>
      </c>
      <c r="N13" s="30">
        <f>M13+CashFlow!N25</f>
        <v>1500</v>
      </c>
      <c r="O13" s="30">
        <f>N13+CashFlow!P25</f>
        <v>1500</v>
      </c>
      <c r="P13" s="30">
        <f>O13+CashFlow!Q25</f>
        <v>1500</v>
      </c>
      <c r="Q13" s="30">
        <f>P13+CashFlow!R25</f>
        <v>1500</v>
      </c>
      <c r="R13" s="30">
        <f>Q13+CashFlow!S25</f>
        <v>1500</v>
      </c>
      <c r="S13" s="30">
        <f>R13+CashFlow!T25</f>
        <v>1500</v>
      </c>
      <c r="T13" s="30">
        <f>S13+CashFlow!U25</f>
        <v>1500</v>
      </c>
      <c r="U13" s="30">
        <f>T13+CashFlow!V25</f>
        <v>1500</v>
      </c>
      <c r="V13" s="30">
        <f>U13+CashFlow!W25</f>
        <v>1500</v>
      </c>
      <c r="W13" s="30">
        <f>V13+CashFlow!X25</f>
        <v>1500</v>
      </c>
      <c r="X13" s="30">
        <f>W13+CashFlow!Y25</f>
        <v>1500</v>
      </c>
      <c r="Y13" s="30">
        <f>X13+CashFlow!Z25</f>
        <v>1500</v>
      </c>
      <c r="Z13" s="30">
        <f>Y13+CashFlow!AA25</f>
        <v>1500</v>
      </c>
      <c r="AA13" s="30">
        <f>Z13+CashFlow!AC25</f>
        <v>1500</v>
      </c>
      <c r="AB13" s="30">
        <f>AA13+CashFlow!AD25</f>
        <v>1500</v>
      </c>
      <c r="AC13" s="30">
        <f>AB13+CashFlow!AE25</f>
        <v>1500</v>
      </c>
      <c r="AD13" s="30">
        <f>AC13+CashFlow!AF25</f>
        <v>1500</v>
      </c>
      <c r="AE13" s="30">
        <f>AD13+CashFlow!AG25</f>
        <v>1500</v>
      </c>
      <c r="AF13" s="30">
        <f>AE13+CashFlow!AH25</f>
        <v>1500</v>
      </c>
      <c r="AG13" s="30">
        <f>AF13+CashFlow!AI25</f>
        <v>1500</v>
      </c>
      <c r="AH13" s="30">
        <f>AG13+CashFlow!AJ25</f>
        <v>1500</v>
      </c>
      <c r="AI13" s="30">
        <f>AH13+CashFlow!AK25</f>
        <v>1500</v>
      </c>
      <c r="AJ13" s="30">
        <f>AI13+CashFlow!AL25</f>
        <v>1500</v>
      </c>
      <c r="AK13" s="30">
        <f>AJ13+CashFlow!AM25</f>
        <v>1500</v>
      </c>
      <c r="AL13" s="30">
        <f>AK13+CashFlow!AN25</f>
        <v>1500</v>
      </c>
    </row>
    <row r="14" spans="1:38" ht="15" customHeight="1" x14ac:dyDescent="0.3">
      <c r="A14" s="7" t="s">
        <v>41</v>
      </c>
      <c r="B14" s="30">
        <f>-Assumptions!$B$22</f>
        <v>0</v>
      </c>
      <c r="C14" s="30">
        <f ca="1">B14+IncState!C45</f>
        <v>24448.799999999996</v>
      </c>
      <c r="D14" s="30">
        <f ca="1">C14+IncState!D45</f>
        <v>62413.915229620347</v>
      </c>
      <c r="E14" s="30">
        <f ca="1">D14+IncState!E45</f>
        <v>87988.118447120243</v>
      </c>
      <c r="F14" s="30">
        <f ca="1">E14+IncState!F45</f>
        <v>64375.38917239361</v>
      </c>
      <c r="G14" s="30">
        <f ca="1">F14+IncState!G45</f>
        <v>79672.113746133473</v>
      </c>
      <c r="H14" s="30">
        <f ca="1">G14+IncState!H45</f>
        <v>94765.914046752121</v>
      </c>
      <c r="I14" s="30">
        <f ca="1">H14+IncState!I45</f>
        <v>122977.66048685975</v>
      </c>
      <c r="J14" s="30">
        <f ca="1">I14+IncState!J45</f>
        <v>110236.23109517689</v>
      </c>
      <c r="K14" s="30">
        <f ca="1">J14+IncState!K45</f>
        <v>112788.91158317537</v>
      </c>
      <c r="L14" s="30">
        <f ca="1">K14+IncState!L45</f>
        <v>142258.11541230243</v>
      </c>
      <c r="M14" s="30">
        <f ca="1">L14+IncState!M45</f>
        <v>177604.9038617929</v>
      </c>
      <c r="N14" s="30">
        <f ca="1">M14+IncState!N45</f>
        <v>205237.30609707499</v>
      </c>
      <c r="O14" s="30">
        <f ca="1">N14+IncState!P45</f>
        <v>234613.71923877436</v>
      </c>
      <c r="P14" s="30">
        <f ca="1">O14+IncState!Q45</f>
        <v>238848.54843232216</v>
      </c>
      <c r="Q14" s="30">
        <f ca="1">P14+IncState!R45</f>
        <v>267498.16691817209</v>
      </c>
      <c r="R14" s="30">
        <f ca="1">Q14+IncState!S45</f>
        <v>287151.91610263177</v>
      </c>
      <c r="S14" s="30">
        <f ca="1">R14+IncState!T45</f>
        <v>314998.52855510457</v>
      </c>
      <c r="T14" s="30">
        <f ca="1">S14+IncState!U45</f>
        <v>308088.8584291857</v>
      </c>
      <c r="U14" s="30">
        <f ca="1">T14+IncState!V45</f>
        <v>330321.76875231415</v>
      </c>
      <c r="V14" s="30">
        <f ca="1">U14+IncState!W45</f>
        <v>341889.49150341912</v>
      </c>
      <c r="W14" s="30">
        <f ca="1">V14+IncState!X45</f>
        <v>363781.78769124538</v>
      </c>
      <c r="X14" s="30">
        <f ca="1">W14+IncState!Y45</f>
        <v>357059.94743336429</v>
      </c>
      <c r="Y14" s="30">
        <f ca="1">X14+IncState!Z45</f>
        <v>366768.23003587587</v>
      </c>
      <c r="Z14" s="30">
        <f ca="1">Y14+IncState!AA45</f>
        <v>401343.22407380852</v>
      </c>
      <c r="AA14" s="30">
        <f ca="1">Z14+IncState!AC45</f>
        <v>432346.52747222222</v>
      </c>
      <c r="AB14" s="30">
        <f ca="1">AA14+IncState!AD45</f>
        <v>426343.58758802124</v>
      </c>
      <c r="AC14" s="30">
        <f ca="1">AB14+IncState!AE45</f>
        <v>445267.5012924826</v>
      </c>
      <c r="AD14" s="30">
        <f ca="1">AC14+IncState!AF45</f>
        <v>461726.97505450714</v>
      </c>
      <c r="AE14" s="30">
        <f ca="1">AD14+IncState!AG45</f>
        <v>423331.42502459855</v>
      </c>
      <c r="AF14" s="30">
        <f ca="1">AE14+IncState!AH45</f>
        <v>449105.61861250608</v>
      </c>
      <c r="AG14" s="30">
        <f ca="1">AF14+IncState!AI45</f>
        <v>463772.58427488554</v>
      </c>
      <c r="AH14" s="30">
        <f ca="1">AG14+IncState!AJ45</f>
        <v>492624.24086738867</v>
      </c>
      <c r="AI14" s="30">
        <f ca="1">AH14+IncState!AK45</f>
        <v>505304.43773565395</v>
      </c>
      <c r="AJ14" s="30">
        <f ca="1">AI14+IncState!AL45</f>
        <v>531313.27480709436</v>
      </c>
      <c r="AK14" s="30">
        <f ca="1">AJ14+IncState!AM45</f>
        <v>553779.38268348773</v>
      </c>
      <c r="AL14" s="30">
        <f ca="1">AK14+IncState!AN45</f>
        <v>580615.97133154876</v>
      </c>
    </row>
    <row r="15" spans="1:38" s="57" customFormat="1" ht="15" customHeight="1" x14ac:dyDescent="0.3">
      <c r="A15" s="55" t="s">
        <v>45</v>
      </c>
      <c r="B15" s="56">
        <f>-Assumptions!$B$23</f>
        <v>1100000</v>
      </c>
      <c r="C15" s="56">
        <f ca="1">B15+CashFlow!C27+CashFlow!C26</f>
        <v>1085981.7095840708</v>
      </c>
      <c r="D15" s="56">
        <f ca="1">C15+CashFlow!D27+CashFlow!D26</f>
        <v>1071840.7591270022</v>
      </c>
      <c r="E15" s="56">
        <f ca="1">D15+CashFlow!E27+CashFlow!E26</f>
        <v>1057576.0753534343</v>
      </c>
      <c r="F15" s="56">
        <f ca="1">E15+CashFlow!F27+CashFlow!F26</f>
        <v>1043186.5755968477</v>
      </c>
      <c r="G15" s="56">
        <f ca="1">F15+CashFlow!G27+CashFlow!G26</f>
        <v>1127396.7776795791</v>
      </c>
      <c r="H15" s="56">
        <f ca="1">G15+CashFlow!H27+CashFlow!H26</f>
        <v>1111468.8190305345</v>
      </c>
      <c r="I15" s="56">
        <f ca="1">H15+CashFlow!I27+CashFlow!I26</f>
        <v>1095401.4907433107</v>
      </c>
      <c r="J15" s="56">
        <f ca="1">I15+CashFlow!J27+CashFlow!J26</f>
        <v>1079193.5733335738</v>
      </c>
      <c r="K15" s="56">
        <f ca="1">J15+CashFlow!K27+CashFlow!K26</f>
        <v>1062843.8366465017</v>
      </c>
      <c r="L15" s="56">
        <f ca="1">K15+CashFlow!L27+CashFlow!L26</f>
        <v>1046351.0397634176</v>
      </c>
      <c r="M15" s="56">
        <f ca="1">L15+CashFlow!M27+CashFlow!M26</f>
        <v>1029713.9309076065</v>
      </c>
      <c r="N15" s="56">
        <f ca="1">M15+CashFlow!N27+CashFlow!N26</f>
        <v>1012931.2473493071</v>
      </c>
      <c r="O15" s="56">
        <f ca="1">N15+CashFlow!P27+CashFlow!P26</f>
        <v>996001.71530987252</v>
      </c>
      <c r="P15" s="56">
        <f ca="1">O15+CashFlow!Q27+CashFlow!Q26</f>
        <v>978924.04986509297</v>
      </c>
      <c r="Q15" s="56">
        <f ca="1">P15+CashFlow!R27+CashFlow!R26</f>
        <v>961696.95484767156</v>
      </c>
      <c r="R15" s="56">
        <f ca="1">Q15+CashFlow!S27+CashFlow!S26</f>
        <v>1023299.6107185984</v>
      </c>
      <c r="S15" s="56">
        <f ca="1">R15+CashFlow!T27+CashFlow!T26</f>
        <v>1004741.2898283957</v>
      </c>
      <c r="T15" s="56">
        <f ca="1">S15+CashFlow!U27+CashFlow!U26</f>
        <v>986020.58363040385</v>
      </c>
      <c r="U15" s="56">
        <f ca="1">T15+CashFlow!V27+CashFlow!V26</f>
        <v>967136.07125317957</v>
      </c>
      <c r="V15" s="56">
        <f ca="1">U15+CashFlow!W27+CashFlow!W26</f>
        <v>948086.31939265458</v>
      </c>
      <c r="W15" s="56">
        <f ca="1">V15+CashFlow!X27+CashFlow!X26</f>
        <v>928869.88220334996</v>
      </c>
      <c r="X15" s="56">
        <f ca="1">W15+CashFlow!Y27+CashFlow!Y26</f>
        <v>909485.3011886389</v>
      </c>
      <c r="Y15" s="56">
        <f ca="1">X15+CashFlow!Z27+CashFlow!Z26</f>
        <v>889931.1050900491</v>
      </c>
      <c r="Z15" s="56">
        <f ca="1">Y15+CashFlow!AA27+CashFlow!AA26</f>
        <v>870205.80977559672</v>
      </c>
      <c r="AA15" s="56">
        <f ca="1">Z15+CashFlow!AC27+CashFlow!AC26</f>
        <v>850307.91812714282</v>
      </c>
      <c r="AB15" s="56">
        <f ca="1">AA15+CashFlow!AD27+CashFlow!AD26</f>
        <v>830235.91992676503</v>
      </c>
      <c r="AC15" s="56">
        <f ca="1">AB15+CashFlow!AE27+CashFlow!AE26</f>
        <v>809988.29174213391</v>
      </c>
      <c r="AD15" s="56">
        <f ca="1">AC15+CashFlow!AF27+CashFlow!AF26</f>
        <v>789563.49681088724</v>
      </c>
      <c r="AE15" s="56">
        <f ca="1">AD15+CashFlow!AG27+CashFlow!AG26</f>
        <v>843004.19239563332</v>
      </c>
      <c r="AF15" s="56">
        <f ca="1">AE15+CashFlow!AH27+CashFlow!AH26</f>
        <v>821256.24406674597</v>
      </c>
      <c r="AG15" s="56">
        <f ca="1">AF15+CashFlow!AI27+CashFlow!AI26</f>
        <v>799318.00118998089</v>
      </c>
      <c r="AH15" s="56">
        <f ca="1">AG15+CashFlow!AJ27+CashFlow!AJ26</f>
        <v>777187.79868804407</v>
      </c>
      <c r="AI15" s="56">
        <f ca="1">AH15+CashFlow!AK27+CashFlow!AK26</f>
        <v>754863.95691421535</v>
      </c>
      <c r="AJ15" s="56">
        <f ca="1">AI15+CashFlow!AL27+CashFlow!AL26</f>
        <v>732344.78152486554</v>
      </c>
      <c r="AK15" s="56">
        <f ca="1">AJ15+CashFlow!AM27+CashFlow!AM26</f>
        <v>739246.24633951543</v>
      </c>
      <c r="AL15" s="56">
        <f ca="1">AK15+CashFlow!AN27+CashFlow!AN26</f>
        <v>715945.59897129354</v>
      </c>
    </row>
    <row r="16" spans="1:38" ht="15" customHeight="1" x14ac:dyDescent="0.35">
      <c r="A16" s="6" t="s">
        <v>42</v>
      </c>
      <c r="B16" s="30"/>
      <c r="C16" s="30"/>
      <c r="D16" s="30"/>
      <c r="E16" s="30"/>
      <c r="F16" s="30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5" customHeight="1" x14ac:dyDescent="0.3">
      <c r="A17" s="7" t="s">
        <v>100</v>
      </c>
      <c r="B17" s="30">
        <f>-Assumptions!$B$24</f>
        <v>110000</v>
      </c>
      <c r="C17" s="30">
        <f ca="1">SUM(IncState!C7,IncState!C13:C35)/C21*Assumptions!$B$15</f>
        <v>117621.77419354838</v>
      </c>
      <c r="D17" s="30">
        <f ca="1">SUM(IncState!D7,IncState!D13:D35)/D21*Assumptions!$B$15</f>
        <v>132217.5</v>
      </c>
      <c r="E17" s="30">
        <f ca="1">SUM(IncState!E7,IncState!E13:E35)/E21*Assumptions!$B$15</f>
        <v>126258.87096774194</v>
      </c>
      <c r="F17" s="30">
        <f ca="1">SUM(IncState!F7,IncState!F13:F35)/F21*Assumptions!$B$15</f>
        <v>165187.5</v>
      </c>
      <c r="G17" s="30">
        <f ca="1">SUM(IncState!G7,IncState!G13:G35)/G21*Assumptions!$B$15</f>
        <v>125605.64516129032</v>
      </c>
      <c r="H17" s="30">
        <f ca="1">SUM(IncState!H7,IncState!H13:H35)/H21*Assumptions!$B$15</f>
        <v>132462.09677419355</v>
      </c>
      <c r="I17" s="30">
        <f ca="1">SUM(IncState!I7,IncState!I13:I35)/I21*Assumptions!$B$15</f>
        <v>125337.50000000001</v>
      </c>
      <c r="J17" s="30">
        <f ca="1">SUM(IncState!J7,IncState!J13:J35)/J21*Assumptions!$B$15</f>
        <v>141626.61290322579</v>
      </c>
      <c r="K17" s="30">
        <f ca="1">SUM(IncState!K7,IncState!K13:K35)/K21*Assumptions!$B$15</f>
        <v>145797.5</v>
      </c>
      <c r="L17" s="30">
        <f ca="1">SUM(IncState!L7,IncState!L13:L35)/L21*Assumptions!$B$15</f>
        <v>127913.22580645162</v>
      </c>
      <c r="M17" s="30">
        <f ca="1">SUM(IncState!M7,IncState!M13:M35)/M21*Assumptions!$B$15</f>
        <v>123065.32258064517</v>
      </c>
      <c r="N17" s="30">
        <f ca="1">SUM(IncState!N7,IncState!N13:N35)/N21*Assumptions!$B$15</f>
        <v>132425.89285714284</v>
      </c>
      <c r="O17" s="30">
        <f ca="1">SUM(IncState!P7,IncState!P13:P35)/O21*Assumptions!$B$15</f>
        <v>138687.58064516127</v>
      </c>
      <c r="P17" s="30">
        <f ca="1">SUM(IncState!Q7,IncState!Q13:Q35)/P21*Assumptions!$B$15</f>
        <v>145844</v>
      </c>
      <c r="Q17" s="30">
        <f ca="1">SUM(IncState!R7,IncState!R13:R35)/Q21*Assumptions!$B$15</f>
        <v>136900.6451612903</v>
      </c>
      <c r="R17" s="30">
        <f ca="1">SUM(IncState!S7,IncState!S13:S35)/R21*Assumptions!$B$15</f>
        <v>151936.5</v>
      </c>
      <c r="S17" s="30">
        <f ca="1">SUM(IncState!T7,IncState!T13:T35)/S21*Assumptions!$B$15</f>
        <v>138220.16129032258</v>
      </c>
      <c r="T17" s="30">
        <f ca="1">SUM(IncState!U7,IncState!U13:U35)/T21*Assumptions!$B$15</f>
        <v>143753.22580645161</v>
      </c>
      <c r="U17" s="30">
        <f ca="1">SUM(IncState!V7,IncState!V13:V35)/U21*Assumptions!$B$15</f>
        <v>130888.99999999999</v>
      </c>
      <c r="V17" s="30">
        <f ca="1">SUM(IncState!W7,IncState!W13:W35)/V21*Assumptions!$B$15</f>
        <v>150607.74193548388</v>
      </c>
      <c r="W17" s="30">
        <f ca="1">SUM(IncState!X7,IncState!X13:X35)/W21*Assumptions!$B$15</f>
        <v>142541.5</v>
      </c>
      <c r="X17" s="30">
        <f ca="1">SUM(IncState!Y7,IncState!Y13:Y35)/X21*Assumptions!$B$15</f>
        <v>168867.58064516127</v>
      </c>
      <c r="Y17" s="30">
        <f ca="1">SUM(IncState!Z7,IncState!Z13:Z35)/Y21*Assumptions!$B$15</f>
        <v>155488.54838709676</v>
      </c>
      <c r="Z17" s="30">
        <f ca="1">SUM(IncState!AA7,IncState!AA13:AA35)/Z21*Assumptions!$B$15</f>
        <v>151594.82142857145</v>
      </c>
      <c r="AA17" s="30">
        <f ca="1">SUM(IncState!AC7,IncState!AC13:AC35)/AA21*Assumptions!$B$15</f>
        <v>145110.48387096776</v>
      </c>
      <c r="AB17" s="30">
        <f ca="1">SUM(IncState!AD7,IncState!AD13:AD35)/AB21*Assumptions!$B$15</f>
        <v>178050</v>
      </c>
      <c r="AC17" s="30">
        <f ca="1">SUM(IncState!AE7,IncState!AE13:AE35)/AC21*Assumptions!$B$15</f>
        <v>146445.96774193548</v>
      </c>
      <c r="AD17" s="30">
        <f ca="1">SUM(IncState!AF7,IncState!AF13:AF35)/AD21*Assumptions!$B$15</f>
        <v>163627.5</v>
      </c>
      <c r="AE17" s="30">
        <f ca="1">SUM(IncState!AG7,IncState!AG13:AG35)/AE21*Assumptions!$B$15</f>
        <v>192079.83870967742</v>
      </c>
      <c r="AF17" s="30">
        <f ca="1">SUM(IncState!AH7,IncState!AH13:AH35)/AF21*Assumptions!$B$15</f>
        <v>157272.09677419355</v>
      </c>
      <c r="AG17" s="30">
        <f ca="1">SUM(IncState!AI7,IncState!AI13:AI35)/AG21*Assumptions!$B$15</f>
        <v>174323</v>
      </c>
      <c r="AH17" s="30">
        <f ca="1">SUM(IncState!AJ7,IncState!AJ13:AJ35)/AH21*Assumptions!$B$15</f>
        <v>151034.03225806452</v>
      </c>
      <c r="AI17" s="30">
        <f ca="1">SUM(IncState!AK7,IncState!AK13:AK35)/AI21*Assumptions!$B$15</f>
        <v>171395.5</v>
      </c>
      <c r="AJ17" s="30">
        <f ca="1">SUM(IncState!AL7,IncState!AL13:AL35)/AJ21*Assumptions!$B$15</f>
        <v>158656.93548387097</v>
      </c>
      <c r="AK17" s="30">
        <f ca="1">SUM(IncState!AM7,IncState!AM13:AM35)/AK21*Assumptions!$B$15</f>
        <v>155683.54838709676</v>
      </c>
      <c r="AL17" s="30">
        <f ca="1">SUM(IncState!AN7,IncState!AN13:AN35)/AL21*Assumptions!$B$15</f>
        <v>177791.78571428571</v>
      </c>
    </row>
    <row r="18" spans="1:38" ht="15" customHeight="1" x14ac:dyDescent="0.3">
      <c r="A18" s="7" t="s">
        <v>56</v>
      </c>
      <c r="B18" s="30">
        <f>-Assumptions!$B$25</f>
        <v>0</v>
      </c>
      <c r="C18" s="30">
        <f ca="1">IncState!C43</f>
        <v>9507.8666666666668</v>
      </c>
      <c r="D18" s="30">
        <f ca="1">C18+IncState!D43</f>
        <v>24272.078144852363</v>
      </c>
      <c r="E18" s="30">
        <f ca="1">D18+IncState!E43</f>
        <v>34217.601618324537</v>
      </c>
      <c r="F18" s="30">
        <f ca="1">E18+IncState!F43</f>
        <v>25034.873567041959</v>
      </c>
      <c r="G18" s="30">
        <f ca="1">F18+IncState!G43</f>
        <v>30983.599790163018</v>
      </c>
      <c r="H18" s="30">
        <v>0</v>
      </c>
      <c r="I18" s="30">
        <f ca="1">H18+IncState!I43</f>
        <v>10971.234726708528</v>
      </c>
      <c r="J18" s="30">
        <f ca="1">I18+IncState!J43</f>
        <v>6016.2344077207454</v>
      </c>
      <c r="K18" s="30">
        <f ca="1">J18+IncState!K43</f>
        <v>7008.94348638683</v>
      </c>
      <c r="L18" s="30">
        <f ca="1">K18+IncState!L43</f>
        <v>18469.189419936236</v>
      </c>
      <c r="M18" s="30">
        <f ca="1">L18+IncState!M43</f>
        <v>32215.162705849201</v>
      </c>
      <c r="N18" s="30">
        <v>0</v>
      </c>
      <c r="O18" s="30">
        <f ca="1">N18+IncState!P43</f>
        <v>11424.160666216412</v>
      </c>
      <c r="P18" s="30">
        <f ca="1">O18+IncState!Q43</f>
        <v>13071.038685929438</v>
      </c>
      <c r="Q18" s="30">
        <f ca="1">P18+IncState!R43</f>
        <v>24212.556985982184</v>
      </c>
      <c r="R18" s="30">
        <f ca="1">Q18+IncState!S43</f>
        <v>31855.681668827616</v>
      </c>
      <c r="S18" s="30">
        <f ca="1">R18+IncState!T43</f>
        <v>42684.919844789285</v>
      </c>
      <c r="T18" s="30">
        <v>0</v>
      </c>
      <c r="U18" s="30">
        <f ca="1">T18+IncState!V43</f>
        <v>8646.1317923277384</v>
      </c>
      <c r="V18" s="30">
        <f ca="1">U18+IncState!W43</f>
        <v>13144.690639979643</v>
      </c>
      <c r="W18" s="30">
        <f ca="1">V18+IncState!X43</f>
        <v>21658.361379689886</v>
      </c>
      <c r="X18" s="30">
        <f ca="1">W18+IncState!Y43</f>
        <v>19044.312390513893</v>
      </c>
      <c r="Y18" s="30">
        <f ca="1">X18+IncState!Z43</f>
        <v>22819.755624823942</v>
      </c>
      <c r="Z18" s="30">
        <v>0</v>
      </c>
      <c r="AA18" s="30">
        <f ca="1">Z18+IncState!AC43</f>
        <v>12056.840210494236</v>
      </c>
      <c r="AB18" s="30">
        <f ca="1">AA18+IncState!AD43</f>
        <v>9722.3635888604913</v>
      </c>
      <c r="AC18" s="30">
        <f ca="1">AB18+IncState!AE43</f>
        <v>17081.663362817693</v>
      </c>
      <c r="AD18" s="30">
        <f ca="1">AC18+IncState!AF43</f>
        <v>23482.569825827261</v>
      </c>
      <c r="AE18" s="30">
        <f ca="1">AD18+IncState!AG43</f>
        <v>8550.9670364183548</v>
      </c>
      <c r="AF18" s="30">
        <v>0</v>
      </c>
      <c r="AG18" s="30">
        <f ca="1">AF18+IncState!AI43</f>
        <v>5703.8199798142596</v>
      </c>
      <c r="AH18" s="30">
        <f ca="1">AG18+IncState!AJ43</f>
        <v>16923.908654676547</v>
      </c>
      <c r="AI18" s="30">
        <f ca="1">AH18+IncState!AK43</f>
        <v>21855.096325668623</v>
      </c>
      <c r="AJ18" s="30">
        <f ca="1">AI18+IncState!AL43</f>
        <v>31969.644075673248</v>
      </c>
      <c r="AK18" s="30">
        <f ca="1">AJ18+IncState!AM43</f>
        <v>40706.463805381762</v>
      </c>
      <c r="AL18" s="30">
        <v>0</v>
      </c>
    </row>
    <row r="19" spans="1:38" s="11" customFormat="1" ht="15" customHeight="1" thickBot="1" x14ac:dyDescent="0.4">
      <c r="A19" s="2"/>
      <c r="B19" s="40">
        <f>SUM(B13:B18)</f>
        <v>1211000</v>
      </c>
      <c r="C19" s="40">
        <f t="shared" ref="C19:AL19" ca="1" si="4">SUM(C13:C18)</f>
        <v>1238560.1504442859</v>
      </c>
      <c r="D19" s="40">
        <f t="shared" ca="1" si="4"/>
        <v>1291744.2525014749</v>
      </c>
      <c r="E19" s="40">
        <f t="shared" ca="1" si="4"/>
        <v>1307040.6663866213</v>
      </c>
      <c r="F19" s="40">
        <f t="shared" ca="1" si="4"/>
        <v>1299284.3383362833</v>
      </c>
      <c r="G19" s="40">
        <f t="shared" ca="1" si="4"/>
        <v>1365158.136377166</v>
      </c>
      <c r="H19" s="40">
        <f t="shared" ca="1" si="4"/>
        <v>1340196.82985148</v>
      </c>
      <c r="I19" s="40">
        <f t="shared" ca="1" si="4"/>
        <v>1356187.885956879</v>
      </c>
      <c r="J19" s="40">
        <f t="shared" ca="1" si="4"/>
        <v>1338572.6517396972</v>
      </c>
      <c r="K19" s="40">
        <f t="shared" ca="1" si="4"/>
        <v>1329939.191716064</v>
      </c>
      <c r="L19" s="40">
        <f t="shared" ca="1" si="4"/>
        <v>1336491.5704021077</v>
      </c>
      <c r="M19" s="40">
        <f t="shared" ca="1" si="4"/>
        <v>1364099.3200558936</v>
      </c>
      <c r="N19" s="40">
        <f t="shared" ca="1" si="4"/>
        <v>1352094.446303525</v>
      </c>
      <c r="O19" s="40">
        <f t="shared" ca="1" si="4"/>
        <v>1382227.1758600245</v>
      </c>
      <c r="P19" s="40">
        <f t="shared" ca="1" si="4"/>
        <v>1378187.6369833446</v>
      </c>
      <c r="Q19" s="40">
        <f t="shared" ca="1" si="4"/>
        <v>1391808.323913116</v>
      </c>
      <c r="R19" s="40">
        <f t="shared" ca="1" si="4"/>
        <v>1495743.7084900576</v>
      </c>
      <c r="S19" s="40">
        <f t="shared" ca="1" si="4"/>
        <v>1502144.8995186121</v>
      </c>
      <c r="T19" s="40">
        <f t="shared" ca="1" si="4"/>
        <v>1439362.6678660412</v>
      </c>
      <c r="U19" s="40">
        <f t="shared" ca="1" si="4"/>
        <v>1438492.9717978216</v>
      </c>
      <c r="V19" s="40">
        <f t="shared" ca="1" si="4"/>
        <v>1455228.2434715373</v>
      </c>
      <c r="W19" s="40">
        <f t="shared" ca="1" si="4"/>
        <v>1458351.5312742852</v>
      </c>
      <c r="X19" s="40">
        <f t="shared" ca="1" si="4"/>
        <v>1455957.1416576784</v>
      </c>
      <c r="Y19" s="40">
        <f t="shared" ca="1" si="4"/>
        <v>1436507.6391378457</v>
      </c>
      <c r="Z19" s="40">
        <f t="shared" ca="1" si="4"/>
        <v>1424643.8552779765</v>
      </c>
      <c r="AA19" s="40">
        <f t="shared" ca="1" si="4"/>
        <v>1441321.7696808269</v>
      </c>
      <c r="AB19" s="40">
        <f t="shared" ca="1" si="4"/>
        <v>1445851.8711036467</v>
      </c>
      <c r="AC19" s="40">
        <f t="shared" ca="1" si="4"/>
        <v>1420283.4241393695</v>
      </c>
      <c r="AD19" s="40">
        <f t="shared" ca="1" si="4"/>
        <v>1439900.5416912218</v>
      </c>
      <c r="AE19" s="40">
        <f t="shared" ca="1" si="4"/>
        <v>1468466.4231663276</v>
      </c>
      <c r="AF19" s="40">
        <f t="shared" ca="1" si="4"/>
        <v>1429133.9594534454</v>
      </c>
      <c r="AG19" s="40">
        <f t="shared" ca="1" si="4"/>
        <v>1444617.4054446807</v>
      </c>
      <c r="AH19" s="40">
        <f t="shared" ca="1" si="4"/>
        <v>1439269.9804681737</v>
      </c>
      <c r="AI19" s="40">
        <f t="shared" ca="1" si="4"/>
        <v>1454918.9909755378</v>
      </c>
      <c r="AJ19" s="40">
        <f t="shared" ca="1" si="4"/>
        <v>1455784.6358915044</v>
      </c>
      <c r="AK19" s="40">
        <f t="shared" ca="1" si="4"/>
        <v>1490915.6412154816</v>
      </c>
      <c r="AL19" s="40">
        <f t="shared" ca="1" si="4"/>
        <v>1475853.3560171279</v>
      </c>
    </row>
    <row r="20" spans="1:38" s="48" customFormat="1" ht="15" customHeight="1" thickTop="1" x14ac:dyDescent="0.3">
      <c r="A20" s="49"/>
      <c r="B20" s="58"/>
      <c r="C20" s="58"/>
      <c r="D20" s="58"/>
      <c r="E20" s="58"/>
    </row>
    <row r="21" spans="1:38" s="41" customFormat="1" ht="15" customHeight="1" x14ac:dyDescent="0.35">
      <c r="A21" s="6" t="s">
        <v>54</v>
      </c>
      <c r="B21" s="59">
        <f ca="1">B4-DATE(YEAR(B4),MONTH(B4),1)+1</f>
        <v>29</v>
      </c>
      <c r="C21" s="59">
        <f t="shared" ref="C21:AL21" ca="1" si="5">C4-DATE(YEAR(C4),MONTH(C4),1)+1</f>
        <v>31</v>
      </c>
      <c r="D21" s="59">
        <f t="shared" ca="1" si="5"/>
        <v>30</v>
      </c>
      <c r="E21" s="59">
        <f t="shared" ca="1" si="5"/>
        <v>31</v>
      </c>
      <c r="F21" s="59">
        <f t="shared" ca="1" si="5"/>
        <v>30</v>
      </c>
      <c r="G21" s="59">
        <f t="shared" ca="1" si="5"/>
        <v>31</v>
      </c>
      <c r="H21" s="59">
        <f t="shared" ca="1" si="5"/>
        <v>31</v>
      </c>
      <c r="I21" s="59">
        <f t="shared" ca="1" si="5"/>
        <v>30</v>
      </c>
      <c r="J21" s="59">
        <f t="shared" ca="1" si="5"/>
        <v>31</v>
      </c>
      <c r="K21" s="59">
        <f t="shared" ca="1" si="5"/>
        <v>30</v>
      </c>
      <c r="L21" s="59">
        <f t="shared" ca="1" si="5"/>
        <v>31</v>
      </c>
      <c r="M21" s="59">
        <f t="shared" ca="1" si="5"/>
        <v>31</v>
      </c>
      <c r="N21" s="59">
        <f t="shared" ca="1" si="5"/>
        <v>28</v>
      </c>
      <c r="O21" s="59">
        <f t="shared" ca="1" si="5"/>
        <v>31</v>
      </c>
      <c r="P21" s="59">
        <f t="shared" ca="1" si="5"/>
        <v>30</v>
      </c>
      <c r="Q21" s="59">
        <f t="shared" ca="1" si="5"/>
        <v>31</v>
      </c>
      <c r="R21" s="59">
        <f t="shared" ca="1" si="5"/>
        <v>30</v>
      </c>
      <c r="S21" s="59">
        <f t="shared" ca="1" si="5"/>
        <v>31</v>
      </c>
      <c r="T21" s="59">
        <f t="shared" ca="1" si="5"/>
        <v>31</v>
      </c>
      <c r="U21" s="59">
        <f t="shared" ca="1" si="5"/>
        <v>30</v>
      </c>
      <c r="V21" s="59">
        <f t="shared" ca="1" si="5"/>
        <v>31</v>
      </c>
      <c r="W21" s="59">
        <f t="shared" ca="1" si="5"/>
        <v>30</v>
      </c>
      <c r="X21" s="59">
        <f t="shared" ca="1" si="5"/>
        <v>31</v>
      </c>
      <c r="Y21" s="59">
        <f t="shared" ca="1" si="5"/>
        <v>31</v>
      </c>
      <c r="Z21" s="59">
        <f t="shared" ca="1" si="5"/>
        <v>28</v>
      </c>
      <c r="AA21" s="59">
        <f t="shared" ca="1" si="5"/>
        <v>31</v>
      </c>
      <c r="AB21" s="59">
        <f t="shared" ca="1" si="5"/>
        <v>30</v>
      </c>
      <c r="AC21" s="59">
        <f t="shared" ca="1" si="5"/>
        <v>31</v>
      </c>
      <c r="AD21" s="59">
        <f t="shared" ca="1" si="5"/>
        <v>30</v>
      </c>
      <c r="AE21" s="59">
        <f t="shared" ca="1" si="5"/>
        <v>31</v>
      </c>
      <c r="AF21" s="59">
        <f t="shared" ca="1" si="5"/>
        <v>31</v>
      </c>
      <c r="AG21" s="59">
        <f t="shared" ca="1" si="5"/>
        <v>30</v>
      </c>
      <c r="AH21" s="59">
        <f t="shared" ca="1" si="5"/>
        <v>31</v>
      </c>
      <c r="AI21" s="59">
        <f t="shared" ca="1" si="5"/>
        <v>30</v>
      </c>
      <c r="AJ21" s="59">
        <f t="shared" ca="1" si="5"/>
        <v>31</v>
      </c>
      <c r="AK21" s="59">
        <f t="shared" ca="1" si="5"/>
        <v>31</v>
      </c>
      <c r="AL21" s="59">
        <f t="shared" ca="1" si="5"/>
        <v>28</v>
      </c>
    </row>
    <row r="23" spans="1:38" s="41" customFormat="1" ht="15" customHeight="1" x14ac:dyDescent="0.35">
      <c r="A23" s="6" t="s">
        <v>63</v>
      </c>
      <c r="B23" s="59"/>
      <c r="C23" s="60">
        <f ca="1">IF(SUM(C$17:C$18)=0,0,SUM(C$8:C$10)/SUM(C$17:C$18))</f>
        <v>3.5545879050700466</v>
      </c>
      <c r="D23" s="60">
        <f t="shared" ref="D23:AL23" ca="1" si="6">IF(SUM(D$17:D$18)=0,0,SUM(D$8:D$10)/SUM(D$17:D$18))</f>
        <v>3.3127504420024816</v>
      </c>
      <c r="E23" s="60">
        <f t="shared" ca="1" si="6"/>
        <v>3.102473475997769</v>
      </c>
      <c r="F23" s="60">
        <f t="shared" ca="1" si="6"/>
        <v>2.6510253703597764</v>
      </c>
      <c r="G23" s="60">
        <f t="shared" ca="1" si="6"/>
        <v>3.7315768603711454</v>
      </c>
      <c r="H23" s="60">
        <f t="shared" ca="1" si="6"/>
        <v>3.773005073570459</v>
      </c>
      <c r="I23" s="60">
        <f t="shared" ca="1" si="6"/>
        <v>3.8969467879067405</v>
      </c>
      <c r="J23" s="60">
        <f t="shared" ca="1" si="6"/>
        <v>3.5828983797113714</v>
      </c>
      <c r="K23" s="60">
        <f t="shared" ca="1" si="6"/>
        <v>3.5062168376239171</v>
      </c>
      <c r="L23" s="60">
        <f t="shared" ca="1" si="6"/>
        <v>3.8101678370283203</v>
      </c>
      <c r="M23" s="60">
        <f t="shared" ca="1" si="6"/>
        <v>3.8689084826991613</v>
      </c>
      <c r="N23" s="60">
        <f t="shared" ca="1" si="6"/>
        <v>4.5623840368486492</v>
      </c>
      <c r="O23" s="60">
        <f t="shared" ca="1" si="6"/>
        <v>3.8173282247289695</v>
      </c>
      <c r="P23" s="60">
        <f t="shared" ca="1" si="6"/>
        <v>3.666748790363707</v>
      </c>
      <c r="Q23" s="60">
        <f t="shared" ca="1" si="6"/>
        <v>3.7863904537267632</v>
      </c>
      <c r="R23" s="60">
        <f t="shared" ca="1" si="6"/>
        <v>3.9592987379937226</v>
      </c>
      <c r="S23" s="60">
        <f t="shared" ca="1" si="6"/>
        <v>4.1336850078982827</v>
      </c>
      <c r="T23" s="60">
        <f t="shared" ca="1" si="6"/>
        <v>4.8606747010103053</v>
      </c>
      <c r="U23" s="60">
        <f t="shared" ca="1" si="6"/>
        <v>5.0996708888673234</v>
      </c>
      <c r="V23" s="60">
        <f t="shared" ca="1" si="6"/>
        <v>4.3512868042355901</v>
      </c>
      <c r="W23" s="60">
        <f t="shared" ca="1" si="6"/>
        <v>4.445024243472945</v>
      </c>
      <c r="X23" s="60">
        <f t="shared" ca="1" si="6"/>
        <v>3.9470266665238616</v>
      </c>
      <c r="Y23" s="60">
        <f t="shared" ca="1" si="6"/>
        <v>4.130256479684193</v>
      </c>
      <c r="Z23" s="60">
        <f t="shared" ca="1" si="6"/>
        <v>4.8735868084567562</v>
      </c>
      <c r="AA23" s="60">
        <f t="shared" ca="1" si="6"/>
        <v>4.8796338321924013</v>
      </c>
      <c r="AB23" s="60">
        <f t="shared" ca="1" si="6"/>
        <v>3.7398811099044598</v>
      </c>
      <c r="AC23" s="60">
        <f t="shared" ca="1" si="6"/>
        <v>4.2162604946216691</v>
      </c>
      <c r="AD23" s="60">
        <f t="shared" ca="1" si="6"/>
        <v>3.8581003751005305</v>
      </c>
      <c r="AE23" s="60">
        <f t="shared" ca="1" si="6"/>
        <v>3.8042639137050451</v>
      </c>
      <c r="AF23" s="60">
        <f t="shared" ca="1" si="6"/>
        <v>4.6843483866342499</v>
      </c>
      <c r="AG23" s="60">
        <f t="shared" ca="1" si="6"/>
        <v>4.2493555187277812</v>
      </c>
      <c r="AH23" s="60">
        <f t="shared" ca="1" si="6"/>
        <v>4.5990547041015484</v>
      </c>
      <c r="AI23" s="60">
        <f t="shared" ca="1" si="6"/>
        <v>4.1443286913633131</v>
      </c>
      <c r="AJ23" s="60">
        <f t="shared" ca="1" si="6"/>
        <v>3.7829991657685076</v>
      </c>
      <c r="AK23" s="60">
        <f t="shared" ca="1" si="6"/>
        <v>3.9240883165244185</v>
      </c>
      <c r="AL23" s="60">
        <f t="shared" ca="1" si="6"/>
        <v>4.3307401384738275</v>
      </c>
    </row>
    <row r="24" spans="1:38" s="41" customFormat="1" ht="15" customHeight="1" x14ac:dyDescent="0.35">
      <c r="A24" s="6" t="s">
        <v>64</v>
      </c>
      <c r="B24" s="59"/>
      <c r="C24" s="60">
        <f ca="1">IF(SUM(C$17:C$18)=0,0,SUM(C$9:C$10)/SUM(C$17:C$18))</f>
        <v>2.3175981405111923</v>
      </c>
      <c r="D24" s="60">
        <f t="shared" ref="D24:AL24" ca="1" si="7">IF(SUM(D$17:D$18)=0,0,SUM(D$9:D$10)/SUM(D$17:D$18))</f>
        <v>2.1539938303290538</v>
      </c>
      <c r="E24" s="60">
        <f t="shared" ca="1" si="7"/>
        <v>2.0571991577084767</v>
      </c>
      <c r="F24" s="60">
        <f t="shared" ca="1" si="7"/>
        <v>1.7510260864182252</v>
      </c>
      <c r="G24" s="60">
        <f t="shared" ca="1" si="7"/>
        <v>2.7419834980211562</v>
      </c>
      <c r="H24" s="60">
        <f t="shared" ca="1" si="7"/>
        <v>2.5456302311018284</v>
      </c>
      <c r="I24" s="60">
        <f t="shared" ca="1" si="7"/>
        <v>2.6837083235371049</v>
      </c>
      <c r="J24" s="60">
        <f t="shared" ca="1" si="7"/>
        <v>2.5505466091057594</v>
      </c>
      <c r="K24" s="60">
        <f t="shared" ca="1" si="7"/>
        <v>2.4067867601549215</v>
      </c>
      <c r="L24" s="60">
        <f t="shared" ca="1" si="7"/>
        <v>2.6648028690894878</v>
      </c>
      <c r="M24" s="60">
        <f t="shared" ca="1" si="7"/>
        <v>2.7957204321668594</v>
      </c>
      <c r="N24" s="60">
        <f t="shared" ca="1" si="7"/>
        <v>3.2456098302506193</v>
      </c>
      <c r="O24" s="60">
        <f t="shared" ca="1" si="7"/>
        <v>2.632726813195791</v>
      </c>
      <c r="P24" s="60">
        <f t="shared" ca="1" si="7"/>
        <v>2.6095801209338392</v>
      </c>
      <c r="Q24" s="60">
        <f t="shared" ca="1" si="7"/>
        <v>2.6984457308337766</v>
      </c>
      <c r="R24" s="60">
        <f t="shared" ca="1" si="7"/>
        <v>2.9481022969237736</v>
      </c>
      <c r="S24" s="60">
        <f t="shared" ca="1" si="7"/>
        <v>3.1591497102130677</v>
      </c>
      <c r="T24" s="60">
        <f t="shared" ca="1" si="7"/>
        <v>3.7824380274994724</v>
      </c>
      <c r="U24" s="60">
        <f t="shared" ca="1" si="7"/>
        <v>3.9332979624976168</v>
      </c>
      <c r="V24" s="60">
        <f t="shared" ca="1" si="7"/>
        <v>3.2826003899476488</v>
      </c>
      <c r="W24" s="60">
        <f t="shared" ca="1" si="7"/>
        <v>3.3814829477253352</v>
      </c>
      <c r="X24" s="60">
        <f t="shared" ca="1" si="7"/>
        <v>2.9838092933390943</v>
      </c>
      <c r="Y24" s="60">
        <f t="shared" ca="1" si="7"/>
        <v>3.1291813980207701</v>
      </c>
      <c r="Z24" s="60">
        <f t="shared" ca="1" si="7"/>
        <v>3.6053447487369432</v>
      </c>
      <c r="AA24" s="60">
        <f t="shared" ca="1" si="7"/>
        <v>3.7651446001189957</v>
      </c>
      <c r="AB24" s="60">
        <f t="shared" ca="1" si="7"/>
        <v>2.7599711993977158</v>
      </c>
      <c r="AC24" s="60">
        <f t="shared" ca="1" si="7"/>
        <v>3.1835850586657757</v>
      </c>
      <c r="AD24" s="60">
        <f t="shared" ca="1" si="7"/>
        <v>2.8693775331273081</v>
      </c>
      <c r="AE24" s="60">
        <f t="shared" ca="1" si="7"/>
        <v>2.9263875995314326</v>
      </c>
      <c r="AF24" s="60">
        <f t="shared" ca="1" si="7"/>
        <v>3.5121452909104831</v>
      </c>
      <c r="AG24" s="60">
        <f t="shared" ca="1" si="7"/>
        <v>3.1689609418430225</v>
      </c>
      <c r="AH24" s="60">
        <f t="shared" ca="1" si="7"/>
        <v>3.5273578315284611</v>
      </c>
      <c r="AI24" s="60">
        <f t="shared" ca="1" si="7"/>
        <v>3.1611493190222859</v>
      </c>
      <c r="AJ24" s="60">
        <f t="shared" ca="1" si="7"/>
        <v>2.8057465548729987</v>
      </c>
      <c r="AK24" s="60">
        <f t="shared" ca="1" si="7"/>
        <v>3.0026171077028594</v>
      </c>
      <c r="AL24" s="60">
        <f t="shared" ca="1" si="7"/>
        <v>3.1556095181856501</v>
      </c>
    </row>
    <row r="25" spans="1:38" s="41" customFormat="1" ht="15" customHeight="1" x14ac:dyDescent="0.35">
      <c r="A25" s="6" t="s">
        <v>34</v>
      </c>
      <c r="B25" s="59"/>
      <c r="C25" s="60">
        <f ca="1">IF(IncState!C$7=0,0,C8/IncState!C$7*C21)</f>
        <v>25</v>
      </c>
      <c r="D25" s="60">
        <f ca="1">IF(IncState!D$7=0,0,D8/IncState!D$7*D21)</f>
        <v>24.999999999999996</v>
      </c>
      <c r="E25" s="60">
        <f ca="1">IF(IncState!E$7=0,0,E8/IncState!E$7*E21)</f>
        <v>25.000000000000004</v>
      </c>
      <c r="F25" s="60">
        <f ca="1">IF(IncState!F$7=0,0,F8/IncState!F$7*F21)</f>
        <v>25</v>
      </c>
      <c r="G25" s="60">
        <f ca="1">IF(IncState!G$7=0,0,G8/IncState!G$7*G21)</f>
        <v>25</v>
      </c>
      <c r="H25" s="60">
        <f ca="1">IF(IncState!H$7=0,0,H8/IncState!H$7*H21)</f>
        <v>25</v>
      </c>
      <c r="I25" s="60">
        <f ca="1">IF(IncState!I$7=0,0,I8/IncState!I$7*I21)</f>
        <v>25</v>
      </c>
      <c r="J25" s="60">
        <f ca="1">IF(IncState!J$7=0,0,J8/IncState!J$7*J21)</f>
        <v>25.000000000000004</v>
      </c>
      <c r="K25" s="60">
        <f ca="1">IF(IncState!K$7=0,0,K8/IncState!K$7*K21)</f>
        <v>25</v>
      </c>
      <c r="L25" s="60">
        <f ca="1">IF(IncState!L$7=0,0,L8/IncState!L$7*L21)</f>
        <v>25</v>
      </c>
      <c r="M25" s="60">
        <f ca="1">IF(IncState!M$7=0,0,M8/IncState!M$7*M21)</f>
        <v>25</v>
      </c>
      <c r="N25" s="60">
        <f ca="1">IF(IncState!N$7=0,0,N8/IncState!N$7*N21)</f>
        <v>25</v>
      </c>
      <c r="O25" s="60">
        <f ca="1">IF(IncState!P$7=0,0,O8/IncState!P$7*O21)</f>
        <v>25.000000000000004</v>
      </c>
      <c r="P25" s="60">
        <f ca="1">IF(IncState!Q$7=0,0,P8/IncState!Q$7*P21)</f>
        <v>25</v>
      </c>
      <c r="Q25" s="60">
        <f ca="1">IF(IncState!R$7=0,0,Q8/IncState!R$7*Q21)</f>
        <v>25</v>
      </c>
      <c r="R25" s="60">
        <f ca="1">IF(IncState!S$7=0,0,R8/IncState!S$7*R21)</f>
        <v>25</v>
      </c>
      <c r="S25" s="60">
        <f ca="1">IF(IncState!T$7=0,0,S8/IncState!T$7*S21)</f>
        <v>25</v>
      </c>
      <c r="T25" s="60">
        <f ca="1">IF(IncState!U$7=0,0,T8/IncState!U$7*T21)</f>
        <v>25</v>
      </c>
      <c r="U25" s="60">
        <f ca="1">IF(IncState!V$7=0,0,U8/IncState!V$7*U21)</f>
        <v>25</v>
      </c>
      <c r="V25" s="60">
        <f ca="1">IF(IncState!W$7=0,0,V8/IncState!W$7*V21)</f>
        <v>25</v>
      </c>
      <c r="W25" s="60">
        <f ca="1">IF(IncState!X$7=0,0,W8/IncState!X$7*W21)</f>
        <v>24.999999999999996</v>
      </c>
      <c r="X25" s="60">
        <f ca="1">IF(IncState!Y$7=0,0,X8/IncState!Y$7*X21)</f>
        <v>25</v>
      </c>
      <c r="Y25" s="60">
        <f ca="1">IF(IncState!Z$7=0,0,Y8/IncState!Z$7*Y21)</f>
        <v>25</v>
      </c>
      <c r="Z25" s="60">
        <f ca="1">IF(IncState!AA$7=0,0,Z8/IncState!AA$7*Z21)</f>
        <v>25</v>
      </c>
      <c r="AA25" s="60">
        <f ca="1">IF(IncState!AC$7=0,0,AA8/IncState!AC$7*AA21)</f>
        <v>25</v>
      </c>
      <c r="AB25" s="60">
        <f ca="1">IF(IncState!AD$7=0,0,AB8/IncState!AD$7*AB21)</f>
        <v>25</v>
      </c>
      <c r="AC25" s="60">
        <f ca="1">IF(IncState!AE$7=0,0,AC8/IncState!AE$7*AC21)</f>
        <v>25</v>
      </c>
      <c r="AD25" s="60">
        <f ca="1">IF(IncState!AF$7=0,0,AD8/IncState!AF$7*AD21)</f>
        <v>25</v>
      </c>
      <c r="AE25" s="60">
        <f ca="1">IF(IncState!AG$7=0,0,AE8/IncState!AG$7*AE21)</f>
        <v>25</v>
      </c>
      <c r="AF25" s="60">
        <f ca="1">IF(IncState!AH$7=0,0,AF8/IncState!AH$7*AF21)</f>
        <v>25.000000000000004</v>
      </c>
      <c r="AG25" s="60">
        <f ca="1">IF(IncState!AI$7=0,0,AG8/IncState!AI$7*AG21)</f>
        <v>25</v>
      </c>
      <c r="AH25" s="60">
        <f ca="1">IF(IncState!AJ$7=0,0,AH8/IncState!AJ$7*AH21)</f>
        <v>25</v>
      </c>
      <c r="AI25" s="60">
        <f ca="1">IF(IncState!AK$7=0,0,AI8/IncState!AK$7*AI21)</f>
        <v>25</v>
      </c>
      <c r="AJ25" s="60">
        <f ca="1">IF(IncState!AL$7=0,0,AJ8/IncState!AL$7*AJ21)</f>
        <v>25.000000000000004</v>
      </c>
      <c r="AK25" s="60">
        <f ca="1">IF(IncState!AM$7=0,0,AK8/IncState!AM$7*AK21)</f>
        <v>25.000000000000004</v>
      </c>
      <c r="AL25" s="60">
        <f ca="1">IF(IncState!AN$7=0,0,AL8/IncState!AN$7*AL21)</f>
        <v>25</v>
      </c>
    </row>
    <row r="26" spans="1:38" s="41" customFormat="1" ht="15" customHeight="1" x14ac:dyDescent="0.35">
      <c r="A26" s="6" t="s">
        <v>32</v>
      </c>
      <c r="B26" s="59"/>
      <c r="C26" s="60">
        <f ca="1">IF(IncState!C$5=0,0,C9/IncState!C$5*C21)</f>
        <v>30.000000000000004</v>
      </c>
      <c r="D26" s="60">
        <f ca="1">IF(IncState!D$5=0,0,D9/IncState!D$5*D21)</f>
        <v>30</v>
      </c>
      <c r="E26" s="60">
        <f ca="1">IF(IncState!E$5=0,0,E9/IncState!E$5*E21)</f>
        <v>29.999999999999996</v>
      </c>
      <c r="F26" s="60">
        <f ca="1">IF(IncState!F$5=0,0,F9/IncState!F$5*F21)</f>
        <v>30</v>
      </c>
      <c r="G26" s="60">
        <f ca="1">IF(IncState!G$5=0,0,G9/IncState!G$5*G21)</f>
        <v>29.999999999999996</v>
      </c>
      <c r="H26" s="60">
        <f ca="1">IF(IncState!H$5=0,0,H9/IncState!H$5*H21)</f>
        <v>29.999999999999996</v>
      </c>
      <c r="I26" s="60">
        <f ca="1">IF(IncState!I$5=0,0,I9/IncState!I$5*I21)</f>
        <v>30</v>
      </c>
      <c r="J26" s="60">
        <f ca="1">IF(IncState!J$5=0,0,J9/IncState!J$5*J21)</f>
        <v>30.000000000000004</v>
      </c>
      <c r="K26" s="60">
        <f ca="1">IF(IncState!K$5=0,0,K9/IncState!K$5*K21)</f>
        <v>30</v>
      </c>
      <c r="L26" s="60">
        <f ca="1">IF(IncState!L$5=0,0,L9/IncState!L$5*L21)</f>
        <v>30.000000000000004</v>
      </c>
      <c r="M26" s="60">
        <f ca="1">IF(IncState!M$5=0,0,M9/IncState!M$5*M21)</f>
        <v>29.999999999999996</v>
      </c>
      <c r="N26" s="60">
        <f ca="1">IF(IncState!N$5=0,0,N9/IncState!N$5*N21)</f>
        <v>30</v>
      </c>
      <c r="O26" s="60">
        <f ca="1">IF(IncState!P$5=0,0,O9/IncState!P$5*O21)</f>
        <v>30</v>
      </c>
      <c r="P26" s="60">
        <f ca="1">IF(IncState!Q$5=0,0,P9/IncState!Q$5*P21)</f>
        <v>30</v>
      </c>
      <c r="Q26" s="60">
        <f ca="1">IF(IncState!R$5=0,0,Q9/IncState!R$5*Q21)</f>
        <v>30.000000000000004</v>
      </c>
      <c r="R26" s="60">
        <f ca="1">IF(IncState!S$5=0,0,R9/IncState!S$5*R21)</f>
        <v>30</v>
      </c>
      <c r="S26" s="60">
        <f ca="1">IF(IncState!T$5=0,0,S9/IncState!T$5*S21)</f>
        <v>29.999999999999996</v>
      </c>
      <c r="T26" s="60">
        <f ca="1">IF(IncState!U$5=0,0,T9/IncState!U$5*T21)</f>
        <v>30</v>
      </c>
      <c r="U26" s="60">
        <f ca="1">IF(IncState!V$5=0,0,U9/IncState!V$5*U21)</f>
        <v>30</v>
      </c>
      <c r="V26" s="60">
        <f ca="1">IF(IncState!W$5=0,0,V9/IncState!W$5*V21)</f>
        <v>30</v>
      </c>
      <c r="W26" s="60">
        <f ca="1">IF(IncState!X$5=0,0,W9/IncState!X$5*W21)</f>
        <v>30</v>
      </c>
      <c r="X26" s="60">
        <f ca="1">IF(IncState!Y$5=0,0,X9/IncState!Y$5*X21)</f>
        <v>30.000000000000004</v>
      </c>
      <c r="Y26" s="60">
        <f ca="1">IF(IncState!Z$5=0,0,Y9/IncState!Z$5*Y21)</f>
        <v>30</v>
      </c>
      <c r="Z26" s="60">
        <f ca="1">IF(IncState!AA$5=0,0,Z9/IncState!AA$5*Z21)</f>
        <v>30</v>
      </c>
      <c r="AA26" s="60">
        <f ca="1">IF(IncState!AC$5=0,0,AA9/IncState!AC$5*AA21)</f>
        <v>30.000000000000004</v>
      </c>
      <c r="AB26" s="60">
        <f ca="1">IF(IncState!AD$5=0,0,AB9/IncState!AD$5*AB21)</f>
        <v>30</v>
      </c>
      <c r="AC26" s="60">
        <f ca="1">IF(IncState!AE$5=0,0,AC9/IncState!AE$5*AC21)</f>
        <v>30</v>
      </c>
      <c r="AD26" s="60">
        <f ca="1">IF(IncState!AF$5=0,0,AD9/IncState!AF$5*AD21)</f>
        <v>30</v>
      </c>
      <c r="AE26" s="60">
        <f ca="1">IF(IncState!AG$5=0,0,AE9/IncState!AG$5*AE21)</f>
        <v>30</v>
      </c>
      <c r="AF26" s="60">
        <f ca="1">IF(IncState!AH$5=0,0,AF9/IncState!AH$5*AF21)</f>
        <v>30</v>
      </c>
      <c r="AG26" s="60">
        <f ca="1">IF(IncState!AI$5=0,0,AG9/IncState!AI$5*AG21)</f>
        <v>30</v>
      </c>
      <c r="AH26" s="60">
        <f ca="1">IF(IncState!AJ$5=0,0,AH9/IncState!AJ$5*AH21)</f>
        <v>30</v>
      </c>
      <c r="AI26" s="60">
        <f ca="1">IF(IncState!AK$5=0,0,AI9/IncState!AK$5*AI21)</f>
        <v>30</v>
      </c>
      <c r="AJ26" s="60">
        <f ca="1">IF(IncState!AL$5=0,0,AJ9/IncState!AL$5*AJ21)</f>
        <v>30.000000000000004</v>
      </c>
      <c r="AK26" s="60">
        <f ca="1">IF(IncState!AM$5=0,0,AK9/IncState!AM$5*AK21)</f>
        <v>30</v>
      </c>
      <c r="AL26" s="60">
        <f ca="1">IF(IncState!AN$5=0,0,AL9/IncState!AN$5*AL21)</f>
        <v>30.000000000000007</v>
      </c>
    </row>
    <row r="27" spans="1:38" s="41" customFormat="1" ht="15" customHeight="1" x14ac:dyDescent="0.35">
      <c r="A27" s="6" t="s">
        <v>33</v>
      </c>
      <c r="B27" s="59"/>
      <c r="C27" s="60">
        <f ca="1">IF(IncState!C$5-IncState!C$40-IncState!C$38=0,0,C17/(IncState!C$5-IncState!C$40-IncState!C$38)*C21)</f>
        <v>14.999999999999998</v>
      </c>
      <c r="D27" s="60">
        <f ca="1">IF(IncState!D$5-IncState!D$40-IncState!D$38=0,0,D17/(IncState!D$5-IncState!D$40-IncState!D$38)*D21)</f>
        <v>15</v>
      </c>
      <c r="E27" s="60">
        <f ca="1">IF(IncState!E$5-IncState!E$40-IncState!E$38=0,0,E17/(IncState!E$5-IncState!E$40-IncState!E$38)*E21)</f>
        <v>14.999999999999998</v>
      </c>
      <c r="F27" s="60">
        <f ca="1">IF(IncState!F$5-IncState!F$40-IncState!F$38=0,0,F17/(IncState!F$5-IncState!F$40-IncState!F$38)*F21)</f>
        <v>15</v>
      </c>
      <c r="G27" s="60">
        <f ca="1">IF(IncState!G$5-IncState!G$40-IncState!G$38=0,0,G17/(IncState!G$5-IncState!G$40-IncState!G$38)*G21)</f>
        <v>14.999999999999996</v>
      </c>
      <c r="H27" s="60">
        <f ca="1">IF(IncState!H$5-IncState!H$40-IncState!H$38=0,0,H17/(IncState!H$5-IncState!H$40-IncState!H$38)*H21)</f>
        <v>15</v>
      </c>
      <c r="I27" s="60">
        <f ca="1">IF(IncState!I$5-IncState!I$40-IncState!I$38=0,0,I17/(IncState!I$5-IncState!I$40-IncState!I$38)*I21)</f>
        <v>15</v>
      </c>
      <c r="J27" s="60">
        <f ca="1">IF(IncState!J$5-IncState!J$40-IncState!J$38=0,0,J17/(IncState!J$5-IncState!J$40-IncState!J$38)*J21)</f>
        <v>14.999999999999998</v>
      </c>
      <c r="K27" s="60">
        <f ca="1">IF(IncState!K$5-IncState!K$40-IncState!K$38=0,0,K17/(IncState!K$5-IncState!K$40-IncState!K$38)*K21)</f>
        <v>15</v>
      </c>
      <c r="L27" s="60">
        <f ca="1">IF(IncState!L$5-IncState!L$40-IncState!L$38=0,0,L17/(IncState!L$5-IncState!L$40-IncState!L$38)*L21)</f>
        <v>15</v>
      </c>
      <c r="M27" s="60">
        <f ca="1">IF(IncState!M$5-IncState!M$40-IncState!M$38=0,0,M17/(IncState!M$5-IncState!M$40-IncState!M$38)*M21)</f>
        <v>14.999999999999998</v>
      </c>
      <c r="N27" s="60">
        <f ca="1">IF(IncState!N$5-IncState!N$40-IncState!N$38=0,0,N17/(IncState!N$5-IncState!N$40-IncState!N$38)*N21)</f>
        <v>14.999999999999996</v>
      </c>
      <c r="O27" s="60">
        <f ca="1">IF(IncState!P$5-IncState!P$40-IncState!P$38=0,0,O17/(IncState!P$5-IncState!P$40-IncState!P$38)*O21)</f>
        <v>15</v>
      </c>
      <c r="P27" s="60">
        <f ca="1">IF(IncState!Q$5-IncState!Q$40-IncState!Q$38=0,0,P17/(IncState!Q$5-IncState!Q$40-IncState!Q$38)*P21)</f>
        <v>15</v>
      </c>
      <c r="Q27" s="60">
        <f ca="1">IF(IncState!R$5-IncState!R$40-IncState!R$38=0,0,Q17/(IncState!R$5-IncState!R$40-IncState!R$38)*Q21)</f>
        <v>15</v>
      </c>
      <c r="R27" s="60">
        <f ca="1">IF(IncState!S$5-IncState!S$40-IncState!S$38=0,0,R17/(IncState!S$5-IncState!S$40-IncState!S$38)*R21)</f>
        <v>15.000000000000004</v>
      </c>
      <c r="S27" s="60">
        <f ca="1">IF(IncState!T$5-IncState!T$40-IncState!T$38=0,0,S17/(IncState!T$5-IncState!T$40-IncState!T$38)*S21)</f>
        <v>15.000000000000002</v>
      </c>
      <c r="T27" s="60">
        <f ca="1">IF(IncState!U$5-IncState!U$40-IncState!U$38=0,0,T17/(IncState!U$5-IncState!U$40-IncState!U$38)*T21)</f>
        <v>14.999999999999998</v>
      </c>
      <c r="U27" s="60">
        <f ca="1">IF(IncState!V$5-IncState!V$40-IncState!V$38=0,0,U17/(IncState!V$5-IncState!V$40-IncState!V$38)*U21)</f>
        <v>15</v>
      </c>
      <c r="V27" s="60">
        <f ca="1">IF(IncState!W$5-IncState!W$40-IncState!W$38=0,0,V17/(IncState!W$5-IncState!W$40-IncState!W$38)*V21)</f>
        <v>15.000000000000004</v>
      </c>
      <c r="W27" s="60">
        <f ca="1">IF(IncState!X$5-IncState!X$40-IncState!X$38=0,0,W17/(IncState!X$5-IncState!X$40-IncState!X$38)*W21)</f>
        <v>15.000000000000004</v>
      </c>
      <c r="X27" s="60">
        <f ca="1">IF(IncState!Y$5-IncState!Y$40-IncState!Y$38=0,0,X17/(IncState!Y$5-IncState!Y$40-IncState!Y$38)*X21)</f>
        <v>14.999999999999998</v>
      </c>
      <c r="Y27" s="60">
        <f ca="1">IF(IncState!Z$5-IncState!Z$40-IncState!Z$38=0,0,Y17/(IncState!Z$5-IncState!Z$40-IncState!Z$38)*Y21)</f>
        <v>15</v>
      </c>
      <c r="Z27" s="60">
        <f ca="1">IF(IncState!AA$5-IncState!AA$40-IncState!AA$38=0,0,Z17/(IncState!AA$5-IncState!AA$40-IncState!AA$38)*Z21)</f>
        <v>15.000000000000005</v>
      </c>
      <c r="AA27" s="60">
        <f ca="1">IF(IncState!AC$5-IncState!AC$40-IncState!AC$38=0,0,AA17/(IncState!AC$5-IncState!AC$40-IncState!AC$38)*AA21)</f>
        <v>15.000000000000002</v>
      </c>
      <c r="AB27" s="60">
        <f ca="1">IF(IncState!AD$5-IncState!AD$40-IncState!AD$38=0,0,AB17/(IncState!AD$5-IncState!AD$40-IncState!AD$38)*AB21)</f>
        <v>15</v>
      </c>
      <c r="AC27" s="60">
        <f ca="1">IF(IncState!AE$5-IncState!AE$40-IncState!AE$38=0,0,AC17/(IncState!AE$5-IncState!AE$40-IncState!AE$38)*AC21)</f>
        <v>15</v>
      </c>
      <c r="AD27" s="60">
        <f ca="1">IF(IncState!AF$5-IncState!AF$40-IncState!AF$38=0,0,AD17/(IncState!AF$5-IncState!AF$40-IncState!AF$38)*AD21)</f>
        <v>15</v>
      </c>
      <c r="AE27" s="60">
        <f ca="1">IF(IncState!AG$5-IncState!AG$40-IncState!AG$38=0,0,AE17/(IncState!AG$5-IncState!AG$40-IncState!AG$38)*AE21)</f>
        <v>15</v>
      </c>
      <c r="AF27" s="60">
        <f ca="1">IF(IncState!AH$5-IncState!AH$40-IncState!AH$38=0,0,AF17/(IncState!AH$5-IncState!AH$40-IncState!AH$38)*AF21)</f>
        <v>15</v>
      </c>
      <c r="AG27" s="60">
        <f ca="1">IF(IncState!AI$5-IncState!AI$40-IncState!AI$38=0,0,AG17/(IncState!AI$5-IncState!AI$40-IncState!AI$38)*AG21)</f>
        <v>15</v>
      </c>
      <c r="AH27" s="60">
        <f ca="1">IF(IncState!AJ$5-IncState!AJ$40-IncState!AJ$38=0,0,AH17/(IncState!AJ$5-IncState!AJ$40-IncState!AJ$38)*AH21)</f>
        <v>15</v>
      </c>
      <c r="AI27" s="60">
        <f ca="1">IF(IncState!AK$5-IncState!AK$40-IncState!AK$38=0,0,AI17/(IncState!AK$5-IncState!AK$40-IncState!AK$38)*AI21)</f>
        <v>15</v>
      </c>
      <c r="AJ27" s="60">
        <f ca="1">IF(IncState!AL$5-IncState!AL$40-IncState!AL$38=0,0,AJ17/(IncState!AL$5-IncState!AL$40-IncState!AL$38)*AJ21)</f>
        <v>15</v>
      </c>
      <c r="AK27" s="60">
        <f ca="1">IF(IncState!AM$5-IncState!AM$40-IncState!AM$38=0,0,AK17/(IncState!AM$5-IncState!AM$40-IncState!AM$38)*AK21)</f>
        <v>14.999999999999998</v>
      </c>
      <c r="AL27" s="60">
        <f ca="1">IF(IncState!AN$5-IncState!AN$40-IncState!AN$38=0,0,AL17/(IncState!AN$5-IncState!AN$40-IncState!AN$38)*AL21)</f>
        <v>15</v>
      </c>
    </row>
    <row r="28" spans="1:38" s="41" customFormat="1" ht="15" customHeight="1" x14ac:dyDescent="0.35">
      <c r="A28" s="6" t="s">
        <v>65</v>
      </c>
      <c r="B28" s="59"/>
      <c r="C28" s="60">
        <f ca="1">IF(SUM(C13:C14)=0,0,C15/SUM(C13:C14))</f>
        <v>42.67319911288827</v>
      </c>
      <c r="D28" s="60">
        <f t="shared" ref="D28:AL28" ca="1" si="8">IF(SUM(D13:D14)=0,0,D15/SUM(D13:D14))</f>
        <v>16.902295895875394</v>
      </c>
      <c r="E28" s="60">
        <f t="shared" ca="1" si="8"/>
        <v>11.884463834145251</v>
      </c>
      <c r="F28" s="60">
        <f t="shared" ca="1" si="8"/>
        <v>15.835755791390691</v>
      </c>
      <c r="G28" s="60">
        <f t="shared" ca="1" si="8"/>
        <v>13.888966612419665</v>
      </c>
      <c r="H28" s="60">
        <f t="shared" ca="1" si="8"/>
        <v>11.545818995607759</v>
      </c>
      <c r="I28" s="60">
        <f t="shared" ca="1" si="8"/>
        <v>8.7999845631654097</v>
      </c>
      <c r="J28" s="60">
        <f t="shared" ca="1" si="8"/>
        <v>9.65840321224292</v>
      </c>
      <c r="K28" s="60">
        <f t="shared" ca="1" si="8"/>
        <v>9.299623401111857</v>
      </c>
      <c r="L28" s="60">
        <f t="shared" ca="1" si="8"/>
        <v>7.2785528438686926</v>
      </c>
      <c r="M28" s="60">
        <f t="shared" ca="1" si="8"/>
        <v>5.7492224316883576</v>
      </c>
      <c r="N28" s="60">
        <f t="shared" ca="1" si="8"/>
        <v>4.8996055258342093</v>
      </c>
      <c r="O28" s="60">
        <f t="shared" ca="1" si="8"/>
        <v>4.2183136097341611</v>
      </c>
      <c r="P28" s="60">
        <f t="shared" ca="1" si="8"/>
        <v>4.0729351446062108</v>
      </c>
      <c r="Q28" s="60">
        <f t="shared" ca="1" si="8"/>
        <v>3.5751059788456292</v>
      </c>
      <c r="R28" s="60">
        <f t="shared" ca="1" si="8"/>
        <v>3.5450989708821421</v>
      </c>
      <c r="S28" s="60">
        <f t="shared" ca="1" si="8"/>
        <v>3.1745527993930733</v>
      </c>
      <c r="T28" s="60">
        <f t="shared" ca="1" si="8"/>
        <v>3.1849356227912926</v>
      </c>
      <c r="U28" s="60">
        <f t="shared" ca="1" si="8"/>
        <v>2.9146251461732486</v>
      </c>
      <c r="V28" s="60">
        <f t="shared" ca="1" si="8"/>
        <v>2.7609648601702026</v>
      </c>
      <c r="W28" s="60">
        <f t="shared" ca="1" si="8"/>
        <v>2.5428858308930464</v>
      </c>
      <c r="X28" s="60">
        <f t="shared" ca="1" si="8"/>
        <v>2.5364944068597066</v>
      </c>
      <c r="Y28" s="60">
        <f t="shared" ca="1" si="8"/>
        <v>2.4165296718735525</v>
      </c>
      <c r="Z28" s="60">
        <f t="shared" ca="1" si="8"/>
        <v>2.1601599773120634</v>
      </c>
      <c r="AA28" s="60">
        <f t="shared" ca="1" si="8"/>
        <v>1.9599279106402097</v>
      </c>
      <c r="AB28" s="60">
        <f t="shared" ca="1" si="8"/>
        <v>1.9405127107484315</v>
      </c>
      <c r="AC28" s="60">
        <f t="shared" ca="1" si="8"/>
        <v>1.8129973406724222</v>
      </c>
      <c r="AD28" s="60">
        <f t="shared" ca="1" si="8"/>
        <v>1.7044851429862879</v>
      </c>
      <c r="AE28" s="60">
        <f t="shared" ca="1" si="8"/>
        <v>1.9843263533219602</v>
      </c>
      <c r="AF28" s="60">
        <f t="shared" ca="1" si="8"/>
        <v>1.8225610381768838</v>
      </c>
      <c r="AG28" s="60">
        <f t="shared" ca="1" si="8"/>
        <v>1.7179563726835441</v>
      </c>
      <c r="AH28" s="60">
        <f t="shared" ca="1" si="8"/>
        <v>1.5728590795783748</v>
      </c>
      <c r="AI28" s="60">
        <f t="shared" ca="1" si="8"/>
        <v>1.4894580645087951</v>
      </c>
      <c r="AJ28" s="60">
        <f t="shared" ca="1" si="8"/>
        <v>1.3744867407630033</v>
      </c>
      <c r="AK28" s="60">
        <f t="shared" ca="1" si="8"/>
        <v>1.3313050500218011</v>
      </c>
      <c r="AL28" s="60">
        <f t="shared" ca="1" si="8"/>
        <v>1.2299020027463239</v>
      </c>
    </row>
    <row r="29" spans="1:38" s="45" customFormat="1" ht="15" customHeight="1" x14ac:dyDescent="0.35">
      <c r="A29" s="6"/>
      <c r="B29" s="44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</row>
    <row r="30" spans="1:38" s="45" customFormat="1" ht="15" customHeight="1" x14ac:dyDescent="0.35">
      <c r="A30" s="6"/>
      <c r="B30" s="44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</row>
    <row r="31" spans="1:38" ht="15" customHeight="1" x14ac:dyDescent="0.3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</row>
    <row r="35" spans="1:5" s="48" customFormat="1" ht="15" customHeight="1" x14ac:dyDescent="0.3">
      <c r="A35" s="49"/>
      <c r="B35" s="58"/>
      <c r="C35" s="58"/>
      <c r="D35" s="58"/>
      <c r="E35" s="58"/>
    </row>
  </sheetData>
  <phoneticPr fontId="3" type="noConversion"/>
  <pageMargins left="0.39370078740157483" right="0.39370078740157483" top="0.59055118110236227" bottom="0.59055118110236227" header="0.39370078740157483" footer="0.39370078740157483"/>
  <pageSetup paperSize="9" scale="70" fitToWidth="3" orientation="landscape" r:id="rId1"/>
  <headerFooter alignWithMargins="0">
    <oddFooter>&amp;C&amp;9Page &amp;P of &amp;N</oddFooter>
  </headerFooter>
  <colBreaks count="2" manualBreakCount="2">
    <brk id="14" max="1048575" man="1"/>
    <brk id="2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5"/>
  <sheetViews>
    <sheetView zoomScale="95" workbookViewId="0">
      <pane ySplit="8" topLeftCell="A9" activePane="bottomLeft" state="frozen"/>
      <selection pane="bottomLeft" activeCell="A8" sqref="A8"/>
    </sheetView>
  </sheetViews>
  <sheetFormatPr defaultColWidth="9.1328125" defaultRowHeight="15" customHeight="1" x14ac:dyDescent="0.3"/>
  <cols>
    <col min="1" max="1" width="15.73046875" style="70" customWidth="1"/>
    <col min="2" max="7" width="13.73046875" style="8" customWidth="1"/>
    <col min="8" max="20" width="15.73046875" style="5" customWidth="1"/>
    <col min="21" max="16384" width="9.1328125" style="5"/>
  </cols>
  <sheetData>
    <row r="1" spans="1:9" x14ac:dyDescent="0.4">
      <c r="A1" s="1" t="str">
        <f>Assumptions!$B$4</f>
        <v>Example Trading Limited</v>
      </c>
      <c r="B1" s="3"/>
      <c r="C1" s="3"/>
      <c r="G1" s="51"/>
    </row>
    <row r="2" spans="1:9" ht="15" customHeight="1" x14ac:dyDescent="0.35">
      <c r="A2" s="6" t="s">
        <v>101</v>
      </c>
    </row>
    <row r="3" spans="1:9" ht="15" customHeight="1" x14ac:dyDescent="0.35">
      <c r="A3" s="6"/>
    </row>
    <row r="4" spans="1:9" ht="15" customHeight="1" x14ac:dyDescent="0.3">
      <c r="A4" s="70" t="s">
        <v>36</v>
      </c>
      <c r="B4" s="88">
        <f>Assumptions!$B$27</f>
        <v>0.105</v>
      </c>
      <c r="C4" s="71"/>
    </row>
    <row r="5" spans="1:9" ht="15" customHeight="1" x14ac:dyDescent="0.3">
      <c r="A5" s="72" t="s">
        <v>46</v>
      </c>
      <c r="B5" s="73">
        <f>Assumptions!$B$28</f>
        <v>5</v>
      </c>
      <c r="C5" s="74"/>
    </row>
    <row r="6" spans="1:9" ht="15" customHeight="1" x14ac:dyDescent="0.3">
      <c r="A6" s="72" t="s">
        <v>47</v>
      </c>
      <c r="B6" s="75" t="str">
        <f>Assumptions!B29</f>
        <v>No</v>
      </c>
      <c r="C6" s="76"/>
    </row>
    <row r="7" spans="1:9" ht="15" customHeight="1" x14ac:dyDescent="0.35">
      <c r="A7" s="20" t="s">
        <v>71</v>
      </c>
    </row>
    <row r="8" spans="1:9" s="53" customFormat="1" ht="24" x14ac:dyDescent="0.35">
      <c r="A8" s="77" t="s">
        <v>55</v>
      </c>
      <c r="B8" s="63" t="s">
        <v>51</v>
      </c>
      <c r="C8" s="63" t="s">
        <v>68</v>
      </c>
      <c r="D8" s="63" t="s">
        <v>50</v>
      </c>
      <c r="E8" s="63" t="s">
        <v>69</v>
      </c>
      <c r="F8" s="63" t="s">
        <v>70</v>
      </c>
      <c r="G8" s="63" t="s">
        <v>52</v>
      </c>
    </row>
    <row r="9" spans="1:9" s="57" customFormat="1" ht="15" customHeight="1" x14ac:dyDescent="0.3">
      <c r="A9" s="78">
        <f ca="1">IF(ISBLANK(Assumptions!$B$5)=TRUE,DATE(YEAR(TODAY()),MONTH(TODAY()),0),DATE(YEAR(Assumptions!$B$5),MONTH(Assumptions!$B$5),0))</f>
        <v>42429</v>
      </c>
      <c r="B9" s="79">
        <v>0</v>
      </c>
      <c r="C9" s="79">
        <f>-Assumptions!$B$23</f>
        <v>1100000</v>
      </c>
      <c r="D9" s="79">
        <v>0</v>
      </c>
      <c r="E9" s="79">
        <v>0</v>
      </c>
      <c r="F9" s="80">
        <f>IF($B$6="Yes",0,D9-E9)</f>
        <v>0</v>
      </c>
      <c r="G9" s="81">
        <f>IF(ROUND(SUM(B9:C9,-F9),0)=0,0,IF($B$6="Yes",SUM($C$9:C9),SUM(B9:C9,-F9)))</f>
        <v>1100000</v>
      </c>
      <c r="I9" s="82"/>
    </row>
    <row r="10" spans="1:9" s="57" customFormat="1" ht="15" customHeight="1" x14ac:dyDescent="0.3">
      <c r="A10" s="78">
        <f ca="1">DATE(YEAR(A9),MONTH(A9)+2,0)</f>
        <v>42460</v>
      </c>
      <c r="B10" s="79">
        <f>G9</f>
        <v>1100000</v>
      </c>
      <c r="C10" s="79">
        <f ca="1">IF(ISNA(MATCH($A10,Months,0))=TRUE,0,OFFSET(CashFlow!$B$26,0,MATCH($A10,Months,0),1,1))</f>
        <v>0</v>
      </c>
      <c r="D10" s="80">
        <f ca="1">IF($B$6="Yes",0,IF(ROW(C10)-ROW($C$9)&gt;$B$5*12,-PMT($B$4/12,$B$5*12,SUM(OFFSET(C10,0,0,-$B$5*12,1)),0,0),-PMT($B$4/12,$B$5*12,SUM(OFFSET(C10,0,0,ROW($C$8)-ROW(C10),1)),0,0)))</f>
        <v>23643.290415929208</v>
      </c>
      <c r="E10" s="80">
        <f ca="1">(G9+C10)*$B$4/12</f>
        <v>9625</v>
      </c>
      <c r="F10" s="80">
        <f t="shared" ref="F10:F73" ca="1" si="0">IF($B$6="Yes",0,D10-E10)</f>
        <v>14018.290415929208</v>
      </c>
      <c r="G10" s="81">
        <f ca="1">IF(ROUND(SUM(B10:C10,-F10),0)=0,0,IF($B$6="Yes",SUM($C$9:C10),SUM(B10:C10,-F10)))</f>
        <v>1085981.7095840708</v>
      </c>
      <c r="I10" s="82"/>
    </row>
    <row r="11" spans="1:9" s="57" customFormat="1" ht="15" customHeight="1" x14ac:dyDescent="0.3">
      <c r="A11" s="78">
        <f t="shared" ref="A11:A74" ca="1" si="1">DATE(YEAR(A10),MONTH(A10)+2,0)</f>
        <v>42490</v>
      </c>
      <c r="B11" s="79">
        <f t="shared" ref="B11:B74" ca="1" si="2">G10</f>
        <v>1085981.7095840708</v>
      </c>
      <c r="C11" s="79">
        <f ca="1">IF(ISNA(MATCH($A11,Months,0))=TRUE,0,OFFSET(CashFlow!$B$26,0,MATCH($A11,Months,0),1,1))</f>
        <v>0</v>
      </c>
      <c r="D11" s="80">
        <f t="shared" ref="D11:D74" ca="1" si="3">IF($B$6="Yes",0,IF(ROW(C11)-ROW($C$9)&gt;$B$5*12,-PMT($B$4/12,$B$5*12,SUM(OFFSET(C11,0,0,-$B$5*12,1)),0,0),-PMT($B$4/12,$B$5*12,SUM(OFFSET(C11,0,0,ROW($C$8)-ROW(C11),1)),0,0)))</f>
        <v>23643.290415929208</v>
      </c>
      <c r="E11" s="80">
        <f t="shared" ref="E11:E74" ca="1" si="4">(G10+C11)*$B$4/12</f>
        <v>9502.3399588606189</v>
      </c>
      <c r="F11" s="80">
        <f t="shared" ca="1" si="0"/>
        <v>14140.950457068589</v>
      </c>
      <c r="G11" s="81">
        <f ca="1">IF(ROUND(SUM(B11:C11,-F11),0)=0,0,IF($B$6="Yes",SUM($C$9:C11),SUM(B11:C11,-F11)))</f>
        <v>1071840.7591270022</v>
      </c>
    </row>
    <row r="12" spans="1:9" s="57" customFormat="1" ht="15" customHeight="1" x14ac:dyDescent="0.3">
      <c r="A12" s="78">
        <f t="shared" ca="1" si="1"/>
        <v>42521</v>
      </c>
      <c r="B12" s="79">
        <f t="shared" ca="1" si="2"/>
        <v>1071840.7591270022</v>
      </c>
      <c r="C12" s="79">
        <f ca="1">IF(ISNA(MATCH($A12,Months,0))=TRUE,0,OFFSET(CashFlow!$B$26,0,MATCH($A12,Months,0),1,1))</f>
        <v>0</v>
      </c>
      <c r="D12" s="80">
        <f t="shared" ca="1" si="3"/>
        <v>23643.290415929208</v>
      </c>
      <c r="E12" s="80">
        <f t="shared" ca="1" si="4"/>
        <v>9378.6066423612701</v>
      </c>
      <c r="F12" s="80">
        <f t="shared" ca="1" si="0"/>
        <v>14264.683773567938</v>
      </c>
      <c r="G12" s="81">
        <f ca="1">IF(ROUND(SUM(B12:C12,-F12),0)=0,0,IF($B$6="Yes",SUM($C$9:C12),SUM(B12:C12,-F12)))</f>
        <v>1057576.0753534343</v>
      </c>
    </row>
    <row r="13" spans="1:9" s="57" customFormat="1" ht="15" customHeight="1" x14ac:dyDescent="0.3">
      <c r="A13" s="78">
        <f t="shared" ca="1" si="1"/>
        <v>42551</v>
      </c>
      <c r="B13" s="79">
        <f t="shared" ca="1" si="2"/>
        <v>1057576.0753534343</v>
      </c>
      <c r="C13" s="79">
        <f ca="1">IF(ISNA(MATCH($A13,Months,0))=TRUE,0,OFFSET(CashFlow!$B$26,0,MATCH($A13,Months,0),1,1))</f>
        <v>0</v>
      </c>
      <c r="D13" s="80">
        <f t="shared" ca="1" si="3"/>
        <v>23643.290415929208</v>
      </c>
      <c r="E13" s="80">
        <f t="shared" ca="1" si="4"/>
        <v>9253.7906593425487</v>
      </c>
      <c r="F13" s="80">
        <f t="shared" ca="1" si="0"/>
        <v>14389.49975658666</v>
      </c>
      <c r="G13" s="81">
        <f ca="1">IF(ROUND(SUM(B13:C13,-F13),0)=0,0,IF($B$6="Yes",SUM($C$9:C13),SUM(B13:C13,-F13)))</f>
        <v>1043186.5755968477</v>
      </c>
    </row>
    <row r="14" spans="1:9" s="57" customFormat="1" ht="15" customHeight="1" x14ac:dyDescent="0.3">
      <c r="A14" s="78">
        <f t="shared" ca="1" si="1"/>
        <v>42582</v>
      </c>
      <c r="B14" s="79">
        <f t="shared" ca="1" si="2"/>
        <v>1043186.5755968477</v>
      </c>
      <c r="C14" s="79">
        <f ca="1">IF(ISNA(MATCH($A14,Months,0))=TRUE,0,OFFSET(CashFlow!$B$26,0,MATCH($A14,Months,0),1,1))</f>
        <v>100000</v>
      </c>
      <c r="D14" s="80">
        <f t="shared" ca="1" si="3"/>
        <v>25792.680453740952</v>
      </c>
      <c r="E14" s="80">
        <f t="shared" ca="1" si="4"/>
        <v>10002.882536472416</v>
      </c>
      <c r="F14" s="80">
        <f t="shared" ca="1" si="0"/>
        <v>15789.797917268535</v>
      </c>
      <c r="G14" s="81">
        <f ca="1">IF(ROUND(SUM(B14:C14,-F14),0)=0,0,IF($B$6="Yes",SUM($C$9:C14),SUM(B14:C14,-F14)))</f>
        <v>1127396.7776795791</v>
      </c>
    </row>
    <row r="15" spans="1:9" s="57" customFormat="1" ht="15" customHeight="1" x14ac:dyDescent="0.3">
      <c r="A15" s="78">
        <f t="shared" ca="1" si="1"/>
        <v>42613</v>
      </c>
      <c r="B15" s="79">
        <f t="shared" ca="1" si="2"/>
        <v>1127396.7776795791</v>
      </c>
      <c r="C15" s="79">
        <f ca="1">IF(ISNA(MATCH($A15,Months,0))=TRUE,0,OFFSET(CashFlow!$B$26,0,MATCH($A15,Months,0),1,1))</f>
        <v>0</v>
      </c>
      <c r="D15" s="80">
        <f t="shared" ca="1" si="3"/>
        <v>25792.680453740952</v>
      </c>
      <c r="E15" s="80">
        <f t="shared" ca="1" si="4"/>
        <v>9864.7218046963171</v>
      </c>
      <c r="F15" s="80">
        <f t="shared" ca="1" si="0"/>
        <v>15927.958649044635</v>
      </c>
      <c r="G15" s="81">
        <f ca="1">IF(ROUND(SUM(B15:C15,-F15),0)=0,0,IF($B$6="Yes",SUM($C$9:C15),SUM(B15:C15,-F15)))</f>
        <v>1111468.8190305345</v>
      </c>
    </row>
    <row r="16" spans="1:9" s="57" customFormat="1" ht="15" customHeight="1" x14ac:dyDescent="0.3">
      <c r="A16" s="78">
        <f t="shared" ca="1" si="1"/>
        <v>42643</v>
      </c>
      <c r="B16" s="79">
        <f t="shared" ca="1" si="2"/>
        <v>1111468.8190305345</v>
      </c>
      <c r="C16" s="79">
        <f ca="1">IF(ISNA(MATCH($A16,Months,0))=TRUE,0,OFFSET(CashFlow!$B$26,0,MATCH($A16,Months,0),1,1))</f>
        <v>0</v>
      </c>
      <c r="D16" s="80">
        <f t="shared" ca="1" si="3"/>
        <v>25792.680453740952</v>
      </c>
      <c r="E16" s="80">
        <f t="shared" ca="1" si="4"/>
        <v>9725.3521665171775</v>
      </c>
      <c r="F16" s="80">
        <f t="shared" ca="1" si="0"/>
        <v>16067.328287223774</v>
      </c>
      <c r="G16" s="81">
        <f ca="1">IF(ROUND(SUM(B16:C16,-F16),0)=0,0,IF($B$6="Yes",SUM($C$9:C16),SUM(B16:C16,-F16)))</f>
        <v>1095401.4907433107</v>
      </c>
    </row>
    <row r="17" spans="1:7" s="57" customFormat="1" ht="15" customHeight="1" x14ac:dyDescent="0.3">
      <c r="A17" s="78">
        <f t="shared" ca="1" si="1"/>
        <v>42674</v>
      </c>
      <c r="B17" s="79">
        <f t="shared" ca="1" si="2"/>
        <v>1095401.4907433107</v>
      </c>
      <c r="C17" s="79">
        <f ca="1">IF(ISNA(MATCH($A17,Months,0))=TRUE,0,OFFSET(CashFlow!$B$26,0,MATCH($A17,Months,0),1,1))</f>
        <v>0</v>
      </c>
      <c r="D17" s="80">
        <f t="shared" ca="1" si="3"/>
        <v>25792.680453740952</v>
      </c>
      <c r="E17" s="80">
        <f t="shared" ca="1" si="4"/>
        <v>9584.7630440039684</v>
      </c>
      <c r="F17" s="80">
        <f t="shared" ca="1" si="0"/>
        <v>16207.917409736983</v>
      </c>
      <c r="G17" s="81">
        <f ca="1">IF(ROUND(SUM(B17:C17,-F17),0)=0,0,IF($B$6="Yes",SUM($C$9:C17),SUM(B17:C17,-F17)))</f>
        <v>1079193.5733335738</v>
      </c>
    </row>
    <row r="18" spans="1:7" s="57" customFormat="1" ht="15" customHeight="1" x14ac:dyDescent="0.3">
      <c r="A18" s="78">
        <f t="shared" ca="1" si="1"/>
        <v>42704</v>
      </c>
      <c r="B18" s="79">
        <f t="shared" ca="1" si="2"/>
        <v>1079193.5733335738</v>
      </c>
      <c r="C18" s="79">
        <f ca="1">IF(ISNA(MATCH($A18,Months,0))=TRUE,0,OFFSET(CashFlow!$B$26,0,MATCH($A18,Months,0),1,1))</f>
        <v>0</v>
      </c>
      <c r="D18" s="80">
        <f t="shared" ca="1" si="3"/>
        <v>25792.680453740952</v>
      </c>
      <c r="E18" s="80">
        <f t="shared" ca="1" si="4"/>
        <v>9442.94376666877</v>
      </c>
      <c r="F18" s="80">
        <f t="shared" ca="1" si="0"/>
        <v>16349.736687072182</v>
      </c>
      <c r="G18" s="81">
        <f ca="1">IF(ROUND(SUM(B18:C18,-F18),0)=0,0,IF($B$6="Yes",SUM($C$9:C18),SUM(B18:C18,-F18)))</f>
        <v>1062843.8366465017</v>
      </c>
    </row>
    <row r="19" spans="1:7" s="57" customFormat="1" ht="15" customHeight="1" x14ac:dyDescent="0.3">
      <c r="A19" s="78">
        <f t="shared" ca="1" si="1"/>
        <v>42735</v>
      </c>
      <c r="B19" s="79">
        <f t="shared" ca="1" si="2"/>
        <v>1062843.8366465017</v>
      </c>
      <c r="C19" s="79">
        <f ca="1">IF(ISNA(MATCH($A19,Months,0))=TRUE,0,OFFSET(CashFlow!$B$26,0,MATCH($A19,Months,0),1,1))</f>
        <v>0</v>
      </c>
      <c r="D19" s="80">
        <f t="shared" ca="1" si="3"/>
        <v>25792.680453740952</v>
      </c>
      <c r="E19" s="80">
        <f t="shared" ca="1" si="4"/>
        <v>9299.8835706568898</v>
      </c>
      <c r="F19" s="80">
        <f t="shared" ca="1" si="0"/>
        <v>16492.796883084062</v>
      </c>
      <c r="G19" s="81">
        <f ca="1">IF(ROUND(SUM(B19:C19,-F19),0)=0,0,IF($B$6="Yes",SUM($C$9:C19),SUM(B19:C19,-F19)))</f>
        <v>1046351.0397634176</v>
      </c>
    </row>
    <row r="20" spans="1:7" ht="15" customHeight="1" x14ac:dyDescent="0.3">
      <c r="A20" s="78">
        <f t="shared" ca="1" si="1"/>
        <v>42766</v>
      </c>
      <c r="B20" s="79">
        <f t="shared" ca="1" si="2"/>
        <v>1046351.0397634176</v>
      </c>
      <c r="C20" s="79">
        <f ca="1">IF(ISNA(MATCH($A20,Months,0))=TRUE,0,OFFSET(CashFlow!$B$26,0,MATCH($A20,Months,0),1,1))</f>
        <v>0</v>
      </c>
      <c r="D20" s="80">
        <f t="shared" ca="1" si="3"/>
        <v>25792.680453740952</v>
      </c>
      <c r="E20" s="80">
        <f t="shared" ca="1" si="4"/>
        <v>9155.5715979299039</v>
      </c>
      <c r="F20" s="80">
        <f t="shared" ca="1" si="0"/>
        <v>16637.10885581105</v>
      </c>
      <c r="G20" s="81">
        <f ca="1">IF(ROUND(SUM(B20:C20,-F20),0)=0,0,IF($B$6="Yes",SUM($C$9:C20),SUM(B20:C20,-F20)))</f>
        <v>1029713.9309076065</v>
      </c>
    </row>
    <row r="21" spans="1:7" ht="15" customHeight="1" x14ac:dyDescent="0.3">
      <c r="A21" s="78">
        <f t="shared" ca="1" si="1"/>
        <v>42794</v>
      </c>
      <c r="B21" s="79">
        <f t="shared" ca="1" si="2"/>
        <v>1029713.9309076065</v>
      </c>
      <c r="C21" s="79">
        <f ca="1">IF(ISNA(MATCH($A21,Months,0))=TRUE,0,OFFSET(CashFlow!$B$26,0,MATCH($A21,Months,0),1,1))</f>
        <v>0</v>
      </c>
      <c r="D21" s="80">
        <f t="shared" ca="1" si="3"/>
        <v>25792.680453740952</v>
      </c>
      <c r="E21" s="80">
        <f t="shared" ca="1" si="4"/>
        <v>9009.9968954415563</v>
      </c>
      <c r="F21" s="80">
        <f t="shared" ca="1" si="0"/>
        <v>16782.683558299395</v>
      </c>
      <c r="G21" s="81">
        <f ca="1">IF(ROUND(SUM(B21:C21,-F21),0)=0,0,IF($B$6="Yes",SUM($C$9:C21),SUM(B21:C21,-F21)))</f>
        <v>1012931.2473493071</v>
      </c>
    </row>
    <row r="22" spans="1:7" ht="15" customHeight="1" x14ac:dyDescent="0.3">
      <c r="A22" s="78">
        <f t="shared" ca="1" si="1"/>
        <v>42825</v>
      </c>
      <c r="B22" s="79">
        <f t="shared" ca="1" si="2"/>
        <v>1012931.2473493071</v>
      </c>
      <c r="C22" s="79">
        <f ca="1">IF(ISNA(MATCH($A22,Months,0))=TRUE,0,OFFSET(CashFlow!$B$26,0,MATCH($A22,Months,0),1,1))</f>
        <v>0</v>
      </c>
      <c r="D22" s="80">
        <f t="shared" ca="1" si="3"/>
        <v>25792.680453740952</v>
      </c>
      <c r="E22" s="80">
        <f t="shared" ca="1" si="4"/>
        <v>8863.1484143064354</v>
      </c>
      <c r="F22" s="80">
        <f t="shared" ca="1" si="0"/>
        <v>16929.532039434518</v>
      </c>
      <c r="G22" s="81">
        <f ca="1">IF(ROUND(SUM(B22:C22,-F22),0)=0,0,IF($B$6="Yes",SUM($C$9:C22),SUM(B22:C22,-F22)))</f>
        <v>996001.71530987252</v>
      </c>
    </row>
    <row r="23" spans="1:7" s="48" customFormat="1" ht="15" customHeight="1" x14ac:dyDescent="0.3">
      <c r="A23" s="78">
        <f t="shared" ca="1" si="1"/>
        <v>42855</v>
      </c>
      <c r="B23" s="79">
        <f t="shared" ca="1" si="2"/>
        <v>996001.71530987252</v>
      </c>
      <c r="C23" s="79">
        <f ca="1">IF(ISNA(MATCH($A23,Months,0))=TRUE,0,OFFSET(CashFlow!$B$26,0,MATCH($A23,Months,0),1,1))</f>
        <v>0</v>
      </c>
      <c r="D23" s="80">
        <f t="shared" ca="1" si="3"/>
        <v>25792.680453740952</v>
      </c>
      <c r="E23" s="80">
        <f t="shared" ca="1" si="4"/>
        <v>8715.0150089613835</v>
      </c>
      <c r="F23" s="80">
        <f t="shared" ca="1" si="0"/>
        <v>17077.665444779566</v>
      </c>
      <c r="G23" s="81">
        <f ca="1">IF(ROUND(SUM(B23:C23,-F23),0)=0,0,IF($B$6="Yes",SUM($C$9:C23),SUM(B23:C23,-F23)))</f>
        <v>978924.04986509297</v>
      </c>
    </row>
    <row r="24" spans="1:7" ht="15" customHeight="1" x14ac:dyDescent="0.3">
      <c r="A24" s="78">
        <f t="shared" ca="1" si="1"/>
        <v>42886</v>
      </c>
      <c r="B24" s="79">
        <f t="shared" ca="1" si="2"/>
        <v>978924.04986509297</v>
      </c>
      <c r="C24" s="79">
        <f ca="1">IF(ISNA(MATCH($A24,Months,0))=TRUE,0,OFFSET(CashFlow!$B$26,0,MATCH($A24,Months,0),1,1))</f>
        <v>0</v>
      </c>
      <c r="D24" s="80">
        <f t="shared" ca="1" si="3"/>
        <v>25792.680453740952</v>
      </c>
      <c r="E24" s="80">
        <f t="shared" ca="1" si="4"/>
        <v>8565.5854363195631</v>
      </c>
      <c r="F24" s="80">
        <f t="shared" ca="1" si="0"/>
        <v>17227.095017421387</v>
      </c>
      <c r="G24" s="81">
        <f ca="1">IF(ROUND(SUM(B24:C24,-F24),0)=0,0,IF($B$6="Yes",SUM($C$9:C24),SUM(B24:C24,-F24)))</f>
        <v>961696.95484767156</v>
      </c>
    </row>
    <row r="25" spans="1:7" ht="15" customHeight="1" x14ac:dyDescent="0.3">
      <c r="A25" s="78">
        <f t="shared" ca="1" si="1"/>
        <v>42916</v>
      </c>
      <c r="B25" s="79">
        <f t="shared" ca="1" si="2"/>
        <v>961696.95484767156</v>
      </c>
      <c r="C25" s="79">
        <f ca="1">IF(ISNA(MATCH($A25,Months,0))=TRUE,0,OFFSET(CashFlow!$B$26,0,MATCH($A25,Months,0),1,1))</f>
        <v>80000</v>
      </c>
      <c r="D25" s="80">
        <f t="shared" ca="1" si="3"/>
        <v>27512.192483990348</v>
      </c>
      <c r="E25" s="80">
        <f t="shared" ca="1" si="4"/>
        <v>9114.8483549171269</v>
      </c>
      <c r="F25" s="80">
        <f t="shared" ca="1" si="0"/>
        <v>18397.344129073223</v>
      </c>
      <c r="G25" s="81">
        <f ca="1">IF(ROUND(SUM(B25:C25,-F25),0)=0,0,IF($B$6="Yes",SUM($C$9:C25),SUM(B25:C25,-F25)))</f>
        <v>1023299.6107185984</v>
      </c>
    </row>
    <row r="26" spans="1:7" ht="15" customHeight="1" x14ac:dyDescent="0.3">
      <c r="A26" s="78">
        <f t="shared" ca="1" si="1"/>
        <v>42947</v>
      </c>
      <c r="B26" s="79">
        <f t="shared" ca="1" si="2"/>
        <v>1023299.6107185984</v>
      </c>
      <c r="C26" s="79">
        <f ca="1">IF(ISNA(MATCH($A26,Months,0))=TRUE,0,OFFSET(CashFlow!$B$26,0,MATCH($A26,Months,0),1,1))</f>
        <v>0</v>
      </c>
      <c r="D26" s="80">
        <f t="shared" ca="1" si="3"/>
        <v>27512.192483990348</v>
      </c>
      <c r="E26" s="80">
        <f t="shared" ca="1" si="4"/>
        <v>8953.871593787735</v>
      </c>
      <c r="F26" s="80">
        <f t="shared" ca="1" si="0"/>
        <v>18558.320890202613</v>
      </c>
      <c r="G26" s="81">
        <f ca="1">IF(ROUND(SUM(B26:C26,-F26),0)=0,0,IF($B$6="Yes",SUM($C$9:C26),SUM(B26:C26,-F26)))</f>
        <v>1004741.2898283957</v>
      </c>
    </row>
    <row r="27" spans="1:7" ht="15" customHeight="1" x14ac:dyDescent="0.3">
      <c r="A27" s="78">
        <f t="shared" ca="1" si="1"/>
        <v>42978</v>
      </c>
      <c r="B27" s="79">
        <f t="shared" ca="1" si="2"/>
        <v>1004741.2898283957</v>
      </c>
      <c r="C27" s="79">
        <f ca="1">IF(ISNA(MATCH($A27,Months,0))=TRUE,0,OFFSET(CashFlow!$B$26,0,MATCH($A27,Months,0),1,1))</f>
        <v>0</v>
      </c>
      <c r="D27" s="80">
        <f t="shared" ca="1" si="3"/>
        <v>27512.192483990348</v>
      </c>
      <c r="E27" s="80">
        <f t="shared" ca="1" si="4"/>
        <v>8791.4862859984623</v>
      </c>
      <c r="F27" s="80">
        <f t="shared" ca="1" si="0"/>
        <v>18720.706197991887</v>
      </c>
      <c r="G27" s="81">
        <f ca="1">IF(ROUND(SUM(B27:C27,-F27),0)=0,0,IF($B$6="Yes",SUM($C$9:C27),SUM(B27:C27,-F27)))</f>
        <v>986020.58363040385</v>
      </c>
    </row>
    <row r="28" spans="1:7" ht="15" customHeight="1" x14ac:dyDescent="0.3">
      <c r="A28" s="78">
        <f t="shared" ca="1" si="1"/>
        <v>43008</v>
      </c>
      <c r="B28" s="79">
        <f t="shared" ca="1" si="2"/>
        <v>986020.58363040385</v>
      </c>
      <c r="C28" s="79">
        <f ca="1">IF(ISNA(MATCH($A28,Months,0))=TRUE,0,OFFSET(CashFlow!$B$26,0,MATCH($A28,Months,0),1,1))</f>
        <v>0</v>
      </c>
      <c r="D28" s="80">
        <f t="shared" ca="1" si="3"/>
        <v>27512.192483990348</v>
      </c>
      <c r="E28" s="80">
        <f t="shared" ca="1" si="4"/>
        <v>8627.6801067660326</v>
      </c>
      <c r="F28" s="80">
        <f t="shared" ca="1" si="0"/>
        <v>18884.512377224317</v>
      </c>
      <c r="G28" s="81">
        <f ca="1">IF(ROUND(SUM(B28:C28,-F28),0)=0,0,IF($B$6="Yes",SUM($C$9:C28),SUM(B28:C28,-F28)))</f>
        <v>967136.07125317957</v>
      </c>
    </row>
    <row r="29" spans="1:7" ht="15" customHeight="1" x14ac:dyDescent="0.3">
      <c r="A29" s="78">
        <f t="shared" ca="1" si="1"/>
        <v>43039</v>
      </c>
      <c r="B29" s="79">
        <f t="shared" ca="1" si="2"/>
        <v>967136.07125317957</v>
      </c>
      <c r="C29" s="79">
        <f ca="1">IF(ISNA(MATCH($A29,Months,0))=TRUE,0,OFFSET(CashFlow!$B$26,0,MATCH($A29,Months,0),1,1))</f>
        <v>0</v>
      </c>
      <c r="D29" s="80">
        <f t="shared" ca="1" si="3"/>
        <v>27512.192483990348</v>
      </c>
      <c r="E29" s="80">
        <f t="shared" ca="1" si="4"/>
        <v>8462.4406234653216</v>
      </c>
      <c r="F29" s="80">
        <f t="shared" ca="1" si="0"/>
        <v>19049.751860525026</v>
      </c>
      <c r="G29" s="81">
        <f ca="1">IF(ROUND(SUM(B29:C29,-F29),0)=0,0,IF($B$6="Yes",SUM($C$9:C29),SUM(B29:C29,-F29)))</f>
        <v>948086.31939265458</v>
      </c>
    </row>
    <row r="30" spans="1:7" ht="15" customHeight="1" x14ac:dyDescent="0.3">
      <c r="A30" s="78">
        <f t="shared" ca="1" si="1"/>
        <v>43069</v>
      </c>
      <c r="B30" s="79">
        <f t="shared" ca="1" si="2"/>
        <v>948086.31939265458</v>
      </c>
      <c r="C30" s="79">
        <f ca="1">IF(ISNA(MATCH($A30,Months,0))=TRUE,0,OFFSET(CashFlow!$B$26,0,MATCH($A30,Months,0),1,1))</f>
        <v>0</v>
      </c>
      <c r="D30" s="80">
        <f t="shared" ca="1" si="3"/>
        <v>27512.192483990348</v>
      </c>
      <c r="E30" s="80">
        <f t="shared" ca="1" si="4"/>
        <v>8295.7552946857268</v>
      </c>
      <c r="F30" s="80">
        <f t="shared" ca="1" si="0"/>
        <v>19216.437189304619</v>
      </c>
      <c r="G30" s="81">
        <f ca="1">IF(ROUND(SUM(B30:C30,-F30),0)=0,0,IF($B$6="Yes",SUM($C$9:C30),SUM(B30:C30,-F30)))</f>
        <v>928869.88220334996</v>
      </c>
    </row>
    <row r="31" spans="1:7" ht="15" customHeight="1" x14ac:dyDescent="0.3">
      <c r="A31" s="78">
        <f t="shared" ca="1" si="1"/>
        <v>43100</v>
      </c>
      <c r="B31" s="79">
        <f t="shared" ca="1" si="2"/>
        <v>928869.88220334996</v>
      </c>
      <c r="C31" s="79">
        <f ca="1">IF(ISNA(MATCH($A31,Months,0))=TRUE,0,OFFSET(CashFlow!$B$26,0,MATCH($A31,Months,0),1,1))</f>
        <v>0</v>
      </c>
      <c r="D31" s="80">
        <f t="shared" ca="1" si="3"/>
        <v>27512.192483990348</v>
      </c>
      <c r="E31" s="80">
        <f t="shared" ca="1" si="4"/>
        <v>8127.6114692793117</v>
      </c>
      <c r="F31" s="80">
        <f t="shared" ca="1" si="0"/>
        <v>19384.581014711035</v>
      </c>
      <c r="G31" s="81">
        <f ca="1">IF(ROUND(SUM(B31:C31,-F31),0)=0,0,IF($B$6="Yes",SUM($C$9:C31),SUM(B31:C31,-F31)))</f>
        <v>909485.3011886389</v>
      </c>
    </row>
    <row r="32" spans="1:7" ht="15" customHeight="1" x14ac:dyDescent="0.3">
      <c r="A32" s="78">
        <f t="shared" ca="1" si="1"/>
        <v>43131</v>
      </c>
      <c r="B32" s="79">
        <f t="shared" ca="1" si="2"/>
        <v>909485.3011886389</v>
      </c>
      <c r="C32" s="79">
        <f ca="1">IF(ISNA(MATCH($A32,Months,0))=TRUE,0,OFFSET(CashFlow!$B$26,0,MATCH($A32,Months,0),1,1))</f>
        <v>0</v>
      </c>
      <c r="D32" s="80">
        <f t="shared" ca="1" si="3"/>
        <v>27512.192483990348</v>
      </c>
      <c r="E32" s="80">
        <f t="shared" ca="1" si="4"/>
        <v>7957.99638540059</v>
      </c>
      <c r="F32" s="80">
        <f t="shared" ca="1" si="0"/>
        <v>19554.196098589757</v>
      </c>
      <c r="G32" s="81">
        <f ca="1">IF(ROUND(SUM(B32:C32,-F32),0)=0,0,IF($B$6="Yes",SUM($C$9:C32),SUM(B32:C32,-F32)))</f>
        <v>889931.1050900491</v>
      </c>
    </row>
    <row r="33" spans="1:7" ht="15" customHeight="1" x14ac:dyDescent="0.3">
      <c r="A33" s="78">
        <f t="shared" ca="1" si="1"/>
        <v>43159</v>
      </c>
      <c r="B33" s="79">
        <f t="shared" ca="1" si="2"/>
        <v>889931.1050900491</v>
      </c>
      <c r="C33" s="79">
        <f ca="1">IF(ISNA(MATCH($A33,Months,0))=TRUE,0,OFFSET(CashFlow!$B$26,0,MATCH($A33,Months,0),1,1))</f>
        <v>0</v>
      </c>
      <c r="D33" s="80">
        <f t="shared" ca="1" si="3"/>
        <v>27512.192483990348</v>
      </c>
      <c r="E33" s="80">
        <f t="shared" ca="1" si="4"/>
        <v>7786.8971695379296</v>
      </c>
      <c r="F33" s="80">
        <f t="shared" ca="1" si="0"/>
        <v>19725.295314452418</v>
      </c>
      <c r="G33" s="81">
        <f ca="1">IF(ROUND(SUM(B33:C33,-F33),0)=0,0,IF($B$6="Yes",SUM($C$9:C33),SUM(B33:C33,-F33)))</f>
        <v>870205.80977559672</v>
      </c>
    </row>
    <row r="34" spans="1:7" ht="15" customHeight="1" x14ac:dyDescent="0.3">
      <c r="A34" s="78">
        <f t="shared" ca="1" si="1"/>
        <v>43190</v>
      </c>
      <c r="B34" s="79">
        <f t="shared" ca="1" si="2"/>
        <v>870205.80977559672</v>
      </c>
      <c r="C34" s="79">
        <f ca="1">IF(ISNA(MATCH($A34,Months,0))=TRUE,0,OFFSET(CashFlow!$B$26,0,MATCH($A34,Months,0),1,1))</f>
        <v>0</v>
      </c>
      <c r="D34" s="80">
        <f t="shared" ca="1" si="3"/>
        <v>27512.192483990348</v>
      </c>
      <c r="E34" s="80">
        <f t="shared" ca="1" si="4"/>
        <v>7614.3008355364718</v>
      </c>
      <c r="F34" s="80">
        <f t="shared" ca="1" si="0"/>
        <v>19897.891648453875</v>
      </c>
      <c r="G34" s="81">
        <f ca="1">IF(ROUND(SUM(B34:C34,-F34),0)=0,0,IF($B$6="Yes",SUM($C$9:C34),SUM(B34:C34,-F34)))</f>
        <v>850307.91812714282</v>
      </c>
    </row>
    <row r="35" spans="1:7" ht="15" customHeight="1" x14ac:dyDescent="0.3">
      <c r="A35" s="78">
        <f t="shared" ca="1" si="1"/>
        <v>43220</v>
      </c>
      <c r="B35" s="79">
        <f t="shared" ca="1" si="2"/>
        <v>850307.91812714282</v>
      </c>
      <c r="C35" s="79">
        <f ca="1">IF(ISNA(MATCH($A35,Months,0))=TRUE,0,OFFSET(CashFlow!$B$26,0,MATCH($A35,Months,0),1,1))</f>
        <v>0</v>
      </c>
      <c r="D35" s="80">
        <f t="shared" ca="1" si="3"/>
        <v>27512.192483990348</v>
      </c>
      <c r="E35" s="80">
        <f t="shared" ca="1" si="4"/>
        <v>7440.194283612499</v>
      </c>
      <c r="F35" s="80">
        <f t="shared" ca="1" si="0"/>
        <v>20071.99820037785</v>
      </c>
      <c r="G35" s="81">
        <f ca="1">IF(ROUND(SUM(B35:C35,-F35),0)=0,0,IF($B$6="Yes",SUM($C$9:C35),SUM(B35:C35,-F35)))</f>
        <v>830235.91992676503</v>
      </c>
    </row>
    <row r="36" spans="1:7" ht="15" customHeight="1" x14ac:dyDescent="0.3">
      <c r="A36" s="78">
        <f t="shared" ca="1" si="1"/>
        <v>43251</v>
      </c>
      <c r="B36" s="79">
        <f t="shared" ca="1" si="2"/>
        <v>830235.91992676503</v>
      </c>
      <c r="C36" s="79">
        <f ca="1">IF(ISNA(MATCH($A36,Months,0))=TRUE,0,OFFSET(CashFlow!$B$26,0,MATCH($A36,Months,0),1,1))</f>
        <v>0</v>
      </c>
      <c r="D36" s="80">
        <f t="shared" ca="1" si="3"/>
        <v>27512.192483990348</v>
      </c>
      <c r="E36" s="80">
        <f t="shared" ca="1" si="4"/>
        <v>7264.5642993591937</v>
      </c>
      <c r="F36" s="80">
        <f t="shared" ca="1" si="0"/>
        <v>20247.628184631154</v>
      </c>
      <c r="G36" s="81">
        <f ca="1">IF(ROUND(SUM(B36:C36,-F36),0)=0,0,IF($B$6="Yes",SUM($C$9:C36),SUM(B36:C36,-F36)))</f>
        <v>809988.29174213391</v>
      </c>
    </row>
    <row r="37" spans="1:7" ht="15" customHeight="1" x14ac:dyDescent="0.3">
      <c r="A37" s="78">
        <f t="shared" ca="1" si="1"/>
        <v>43281</v>
      </c>
      <c r="B37" s="79">
        <f t="shared" ca="1" si="2"/>
        <v>809988.29174213391</v>
      </c>
      <c r="C37" s="79">
        <f ca="1">IF(ISNA(MATCH($A37,Months,0))=TRUE,0,OFFSET(CashFlow!$B$26,0,MATCH($A37,Months,0),1,1))</f>
        <v>0</v>
      </c>
      <c r="D37" s="80">
        <f t="shared" ca="1" si="3"/>
        <v>27512.192483990348</v>
      </c>
      <c r="E37" s="80">
        <f t="shared" ca="1" si="4"/>
        <v>7087.3975527436714</v>
      </c>
      <c r="F37" s="80">
        <f t="shared" ca="1" si="0"/>
        <v>20424.794931246677</v>
      </c>
      <c r="G37" s="81">
        <f ca="1">IF(ROUND(SUM(B37:C37,-F37),0)=0,0,IF($B$6="Yes",SUM($C$9:C37),SUM(B37:C37,-F37)))</f>
        <v>789563.49681088724</v>
      </c>
    </row>
    <row r="38" spans="1:7" ht="15" customHeight="1" x14ac:dyDescent="0.3">
      <c r="A38" s="78">
        <f t="shared" ca="1" si="1"/>
        <v>43312</v>
      </c>
      <c r="B38" s="79">
        <f t="shared" ca="1" si="2"/>
        <v>789563.49681088724</v>
      </c>
      <c r="C38" s="79">
        <f ca="1">IF(ISNA(MATCH($A38,Months,0))=TRUE,0,OFFSET(CashFlow!$B$26,0,MATCH($A38,Months,0),1,1))</f>
        <v>75000</v>
      </c>
      <c r="D38" s="80">
        <f t="shared" ca="1" si="3"/>
        <v>29124.23501234916</v>
      </c>
      <c r="E38" s="80">
        <f t="shared" ca="1" si="4"/>
        <v>7564.9305970952628</v>
      </c>
      <c r="F38" s="80">
        <f t="shared" ca="1" si="0"/>
        <v>21559.304415253897</v>
      </c>
      <c r="G38" s="81">
        <f ca="1">IF(ROUND(SUM(B38:C38,-F38),0)=0,0,IF($B$6="Yes",SUM($C$9:C38),SUM(B38:C38,-F38)))</f>
        <v>843004.19239563332</v>
      </c>
    </row>
    <row r="39" spans="1:7" ht="15" customHeight="1" x14ac:dyDescent="0.3">
      <c r="A39" s="78">
        <f t="shared" ca="1" si="1"/>
        <v>43343</v>
      </c>
      <c r="B39" s="79">
        <f t="shared" ca="1" si="2"/>
        <v>843004.19239563332</v>
      </c>
      <c r="C39" s="79">
        <f ca="1">IF(ISNA(MATCH($A39,Months,0))=TRUE,0,OFFSET(CashFlow!$B$26,0,MATCH($A39,Months,0),1,1))</f>
        <v>0</v>
      </c>
      <c r="D39" s="80">
        <f t="shared" ca="1" si="3"/>
        <v>29124.23501234916</v>
      </c>
      <c r="E39" s="80">
        <f t="shared" ca="1" si="4"/>
        <v>7376.2866834617917</v>
      </c>
      <c r="F39" s="80">
        <f t="shared" ca="1" si="0"/>
        <v>21747.948328887367</v>
      </c>
      <c r="G39" s="81">
        <f ca="1">IF(ROUND(SUM(B39:C39,-F39),0)=0,0,IF($B$6="Yes",SUM($C$9:C39),SUM(B39:C39,-F39)))</f>
        <v>821256.24406674597</v>
      </c>
    </row>
    <row r="40" spans="1:7" ht="15" customHeight="1" x14ac:dyDescent="0.3">
      <c r="A40" s="78">
        <f t="shared" ca="1" si="1"/>
        <v>43373</v>
      </c>
      <c r="B40" s="79">
        <f t="shared" ca="1" si="2"/>
        <v>821256.24406674597</v>
      </c>
      <c r="C40" s="79">
        <f ca="1">IF(ISNA(MATCH($A40,Months,0))=TRUE,0,OFFSET(CashFlow!$B$26,0,MATCH($A40,Months,0),1,1))</f>
        <v>0</v>
      </c>
      <c r="D40" s="80">
        <f t="shared" ca="1" si="3"/>
        <v>29124.23501234916</v>
      </c>
      <c r="E40" s="80">
        <f t="shared" ca="1" si="4"/>
        <v>7185.992135584027</v>
      </c>
      <c r="F40" s="80">
        <f t="shared" ca="1" si="0"/>
        <v>21938.242876765133</v>
      </c>
      <c r="G40" s="81">
        <f ca="1">IF(ROUND(SUM(B40:C40,-F40),0)=0,0,IF($B$6="Yes",SUM($C$9:C40),SUM(B40:C40,-F40)))</f>
        <v>799318.00118998089</v>
      </c>
    </row>
    <row r="41" spans="1:7" ht="15" customHeight="1" x14ac:dyDescent="0.3">
      <c r="A41" s="78">
        <f t="shared" ca="1" si="1"/>
        <v>43404</v>
      </c>
      <c r="B41" s="79">
        <f t="shared" ca="1" si="2"/>
        <v>799318.00118998089</v>
      </c>
      <c r="C41" s="79">
        <f ca="1">IF(ISNA(MATCH($A41,Months,0))=TRUE,0,OFFSET(CashFlow!$B$26,0,MATCH($A41,Months,0),1,1))</f>
        <v>0</v>
      </c>
      <c r="D41" s="80">
        <f t="shared" ca="1" si="3"/>
        <v>29124.23501234916</v>
      </c>
      <c r="E41" s="80">
        <f t="shared" ca="1" si="4"/>
        <v>6994.0325104123331</v>
      </c>
      <c r="F41" s="80">
        <f t="shared" ca="1" si="0"/>
        <v>22130.202501936827</v>
      </c>
      <c r="G41" s="81">
        <f ca="1">IF(ROUND(SUM(B41:C41,-F41),0)=0,0,IF($B$6="Yes",SUM($C$9:C41),SUM(B41:C41,-F41)))</f>
        <v>777187.79868804407</v>
      </c>
    </row>
    <row r="42" spans="1:7" ht="15" customHeight="1" x14ac:dyDescent="0.3">
      <c r="A42" s="78">
        <f t="shared" ca="1" si="1"/>
        <v>43434</v>
      </c>
      <c r="B42" s="79">
        <f t="shared" ca="1" si="2"/>
        <v>777187.79868804407</v>
      </c>
      <c r="C42" s="79">
        <f ca="1">IF(ISNA(MATCH($A42,Months,0))=TRUE,0,OFFSET(CashFlow!$B$26,0,MATCH($A42,Months,0),1,1))</f>
        <v>0</v>
      </c>
      <c r="D42" s="80">
        <f t="shared" ca="1" si="3"/>
        <v>29124.23501234916</v>
      </c>
      <c r="E42" s="80">
        <f t="shared" ca="1" si="4"/>
        <v>6800.3932385203852</v>
      </c>
      <c r="F42" s="80">
        <f t="shared" ca="1" si="0"/>
        <v>22323.841773828775</v>
      </c>
      <c r="G42" s="81">
        <f ca="1">IF(ROUND(SUM(B42:C42,-F42),0)=0,0,IF($B$6="Yes",SUM($C$9:C42),SUM(B42:C42,-F42)))</f>
        <v>754863.95691421535</v>
      </c>
    </row>
    <row r="43" spans="1:7" ht="15" customHeight="1" x14ac:dyDescent="0.3">
      <c r="A43" s="78">
        <f t="shared" ca="1" si="1"/>
        <v>43465</v>
      </c>
      <c r="B43" s="79">
        <f t="shared" ca="1" si="2"/>
        <v>754863.95691421535</v>
      </c>
      <c r="C43" s="79">
        <f ca="1">IF(ISNA(MATCH($A43,Months,0))=TRUE,0,OFFSET(CashFlow!$B$26,0,MATCH($A43,Months,0),1,1))</f>
        <v>0</v>
      </c>
      <c r="D43" s="80">
        <f t="shared" ca="1" si="3"/>
        <v>29124.23501234916</v>
      </c>
      <c r="E43" s="80">
        <f t="shared" ca="1" si="4"/>
        <v>6605.0596229993835</v>
      </c>
      <c r="F43" s="80">
        <f t="shared" ca="1" si="0"/>
        <v>22519.175389349777</v>
      </c>
      <c r="G43" s="81">
        <f ca="1">IF(ROUND(SUM(B43:C43,-F43),0)=0,0,IF($B$6="Yes",SUM($C$9:C43),SUM(B43:C43,-F43)))</f>
        <v>732344.78152486554</v>
      </c>
    </row>
    <row r="44" spans="1:7" ht="15" customHeight="1" x14ac:dyDescent="0.3">
      <c r="A44" s="78">
        <f t="shared" ca="1" si="1"/>
        <v>43496</v>
      </c>
      <c r="B44" s="79">
        <f t="shared" ca="1" si="2"/>
        <v>732344.78152486554</v>
      </c>
      <c r="C44" s="79">
        <f ca="1">IF(ISNA(MATCH($A44,Months,0))=TRUE,0,OFFSET(CashFlow!$B$26,0,MATCH($A44,Months,0),1,1))</f>
        <v>30000</v>
      </c>
      <c r="D44" s="80">
        <f t="shared" ca="1" si="3"/>
        <v>29769.052023692682</v>
      </c>
      <c r="E44" s="80">
        <f t="shared" ca="1" si="4"/>
        <v>6670.5168383425735</v>
      </c>
      <c r="F44" s="80">
        <f t="shared" ca="1" si="0"/>
        <v>23098.535185350109</v>
      </c>
      <c r="G44" s="81">
        <f ca="1">IF(ROUND(SUM(B44:C44,-F44),0)=0,0,IF($B$6="Yes",SUM($C$9:C44),SUM(B44:C44,-F44)))</f>
        <v>739246.24633951543</v>
      </c>
    </row>
    <row r="45" spans="1:7" ht="15" customHeight="1" x14ac:dyDescent="0.3">
      <c r="A45" s="78">
        <f t="shared" ca="1" si="1"/>
        <v>43524</v>
      </c>
      <c r="B45" s="79">
        <f t="shared" ca="1" si="2"/>
        <v>739246.24633951543</v>
      </c>
      <c r="C45" s="79">
        <f ca="1">IF(ISNA(MATCH($A45,Months,0))=TRUE,0,OFFSET(CashFlow!$B$26,0,MATCH($A45,Months,0),1,1))</f>
        <v>0</v>
      </c>
      <c r="D45" s="80">
        <f t="shared" ca="1" si="3"/>
        <v>29769.052023692682</v>
      </c>
      <c r="E45" s="80">
        <f t="shared" ca="1" si="4"/>
        <v>6468.4046554707602</v>
      </c>
      <c r="F45" s="80">
        <f t="shared" ca="1" si="0"/>
        <v>23300.647368221922</v>
      </c>
      <c r="G45" s="81">
        <f ca="1">IF(ROUND(SUM(B45:C45,-F45),0)=0,0,IF($B$6="Yes",SUM($C$9:C45),SUM(B45:C45,-F45)))</f>
        <v>715945.59897129354</v>
      </c>
    </row>
    <row r="46" spans="1:7" ht="15" customHeight="1" x14ac:dyDescent="0.3">
      <c r="A46" s="78">
        <f t="shared" ca="1" si="1"/>
        <v>43555</v>
      </c>
      <c r="B46" s="79">
        <f t="shared" ca="1" si="2"/>
        <v>715945.59897129354</v>
      </c>
      <c r="C46" s="79">
        <f ca="1">IF(ISNA(MATCH($A46,Months,0))=TRUE,0,OFFSET(CashFlow!$B$26,0,MATCH($A46,Months,0),1,1))</f>
        <v>0</v>
      </c>
      <c r="D46" s="80">
        <f t="shared" ca="1" si="3"/>
        <v>29769.052023692682</v>
      </c>
      <c r="E46" s="80">
        <f t="shared" ca="1" si="4"/>
        <v>6264.5239909988186</v>
      </c>
      <c r="F46" s="80">
        <f t="shared" ca="1" si="0"/>
        <v>23504.528032693863</v>
      </c>
      <c r="G46" s="81">
        <f ca="1">IF(ROUND(SUM(B46:C46,-F46),0)=0,0,IF($B$6="Yes",SUM($C$9:C46),SUM(B46:C46,-F46)))</f>
        <v>692441.07093859965</v>
      </c>
    </row>
    <row r="47" spans="1:7" ht="15" customHeight="1" x14ac:dyDescent="0.3">
      <c r="A47" s="78">
        <f t="shared" ca="1" si="1"/>
        <v>43585</v>
      </c>
      <c r="B47" s="79">
        <f t="shared" ca="1" si="2"/>
        <v>692441.07093859965</v>
      </c>
      <c r="C47" s="79">
        <f ca="1">IF(ISNA(MATCH($A47,Months,0))=TRUE,0,OFFSET(CashFlow!$B$26,0,MATCH($A47,Months,0),1,1))</f>
        <v>0</v>
      </c>
      <c r="D47" s="80">
        <f t="shared" ca="1" si="3"/>
        <v>29769.052023692682</v>
      </c>
      <c r="E47" s="80">
        <f t="shared" ca="1" si="4"/>
        <v>6058.8593707127466</v>
      </c>
      <c r="F47" s="80">
        <f t="shared" ca="1" si="0"/>
        <v>23710.192652979935</v>
      </c>
      <c r="G47" s="81">
        <f ca="1">IF(ROUND(SUM(B47:C47,-F47),0)=0,0,IF($B$6="Yes",SUM($C$9:C47),SUM(B47:C47,-F47)))</f>
        <v>668730.87828561966</v>
      </c>
    </row>
    <row r="48" spans="1:7" ht="15" customHeight="1" x14ac:dyDescent="0.3">
      <c r="A48" s="78">
        <f t="shared" ca="1" si="1"/>
        <v>43616</v>
      </c>
      <c r="B48" s="79">
        <f t="shared" ca="1" si="2"/>
        <v>668730.87828561966</v>
      </c>
      <c r="C48" s="79">
        <f ca="1">IF(ISNA(MATCH($A48,Months,0))=TRUE,0,OFFSET(CashFlow!$B$26,0,MATCH($A48,Months,0),1,1))</f>
        <v>0</v>
      </c>
      <c r="D48" s="80">
        <f t="shared" ca="1" si="3"/>
        <v>29769.052023692682</v>
      </c>
      <c r="E48" s="80">
        <f t="shared" ca="1" si="4"/>
        <v>5851.3951849991718</v>
      </c>
      <c r="F48" s="80">
        <f t="shared" ca="1" si="0"/>
        <v>23917.656838693511</v>
      </c>
      <c r="G48" s="81">
        <f ca="1">IF(ROUND(SUM(B48:C48,-F48),0)=0,0,IF($B$6="Yes",SUM($C$9:C48),SUM(B48:C48,-F48)))</f>
        <v>644813.22144692612</v>
      </c>
    </row>
    <row r="49" spans="1:7" ht="15" customHeight="1" x14ac:dyDescent="0.3">
      <c r="A49" s="78">
        <f t="shared" ca="1" si="1"/>
        <v>43646</v>
      </c>
      <c r="B49" s="79">
        <f t="shared" ca="1" si="2"/>
        <v>644813.22144692612</v>
      </c>
      <c r="C49" s="79">
        <f ca="1">IF(ISNA(MATCH($A49,Months,0))=TRUE,0,OFFSET(CashFlow!$B$26,0,MATCH($A49,Months,0),1,1))</f>
        <v>0</v>
      </c>
      <c r="D49" s="80">
        <f t="shared" ca="1" si="3"/>
        <v>29769.052023692682</v>
      </c>
      <c r="E49" s="80">
        <f t="shared" ca="1" si="4"/>
        <v>5642.1156876606037</v>
      </c>
      <c r="F49" s="80">
        <f t="shared" ca="1" si="0"/>
        <v>24126.936336032079</v>
      </c>
      <c r="G49" s="81">
        <f ca="1">IF(ROUND(SUM(B49:C49,-F49),0)=0,0,IF($B$6="Yes",SUM($C$9:C49),SUM(B49:C49,-F49)))</f>
        <v>620686.28511089401</v>
      </c>
    </row>
    <row r="50" spans="1:7" ht="15" customHeight="1" x14ac:dyDescent="0.3">
      <c r="A50" s="78">
        <f t="shared" ca="1" si="1"/>
        <v>43677</v>
      </c>
      <c r="B50" s="79">
        <f t="shared" ca="1" si="2"/>
        <v>620686.28511089401</v>
      </c>
      <c r="C50" s="79">
        <f ca="1">IF(ISNA(MATCH($A50,Months,0))=TRUE,0,OFFSET(CashFlow!$B$26,0,MATCH($A50,Months,0),1,1))</f>
        <v>0</v>
      </c>
      <c r="D50" s="80">
        <f t="shared" ca="1" si="3"/>
        <v>29769.052023692682</v>
      </c>
      <c r="E50" s="80">
        <f t="shared" ca="1" si="4"/>
        <v>5431.0049947203224</v>
      </c>
      <c r="F50" s="80">
        <f t="shared" ca="1" si="0"/>
        <v>24338.04702897236</v>
      </c>
      <c r="G50" s="81">
        <f ca="1">IF(ROUND(SUM(B50:C50,-F50),0)=0,0,IF($B$6="Yes",SUM($C$9:C50),SUM(B50:C50,-F50)))</f>
        <v>596348.23808192159</v>
      </c>
    </row>
    <row r="51" spans="1:7" ht="15" customHeight="1" x14ac:dyDescent="0.3">
      <c r="A51" s="78">
        <f t="shared" ca="1" si="1"/>
        <v>43708</v>
      </c>
      <c r="B51" s="79">
        <f t="shared" ca="1" si="2"/>
        <v>596348.23808192159</v>
      </c>
      <c r="C51" s="79">
        <f ca="1">IF(ISNA(MATCH($A51,Months,0))=TRUE,0,OFFSET(CashFlow!$B$26,0,MATCH($A51,Months,0),1,1))</f>
        <v>0</v>
      </c>
      <c r="D51" s="80">
        <f t="shared" ca="1" si="3"/>
        <v>29769.052023692682</v>
      </c>
      <c r="E51" s="80">
        <f t="shared" ca="1" si="4"/>
        <v>5218.0470832168139</v>
      </c>
      <c r="F51" s="80">
        <f t="shared" ca="1" si="0"/>
        <v>24551.004940475868</v>
      </c>
      <c r="G51" s="81">
        <f ca="1">IF(ROUND(SUM(B51:C51,-F51),0)=0,0,IF($B$6="Yes",SUM($C$9:C51),SUM(B51:C51,-F51)))</f>
        <v>571797.23314144567</v>
      </c>
    </row>
    <row r="52" spans="1:7" ht="15" customHeight="1" x14ac:dyDescent="0.3">
      <c r="A52" s="78">
        <f t="shared" ca="1" si="1"/>
        <v>43738</v>
      </c>
      <c r="B52" s="79">
        <f t="shared" ca="1" si="2"/>
        <v>571797.23314144567</v>
      </c>
      <c r="C52" s="79">
        <f ca="1">IF(ISNA(MATCH($A52,Months,0))=TRUE,0,OFFSET(CashFlow!$B$26,0,MATCH($A52,Months,0),1,1))</f>
        <v>0</v>
      </c>
      <c r="D52" s="80">
        <f t="shared" ca="1" si="3"/>
        <v>29769.052023692682</v>
      </c>
      <c r="E52" s="80">
        <f t="shared" ca="1" si="4"/>
        <v>5003.2257899876495</v>
      </c>
      <c r="F52" s="80">
        <f t="shared" ca="1" si="0"/>
        <v>24765.826233705033</v>
      </c>
      <c r="G52" s="81">
        <f ca="1">IF(ROUND(SUM(B52:C52,-F52),0)=0,0,IF($B$6="Yes",SUM($C$9:C52),SUM(B52:C52,-F52)))</f>
        <v>547031.40690774063</v>
      </c>
    </row>
    <row r="53" spans="1:7" ht="15" customHeight="1" x14ac:dyDescent="0.3">
      <c r="A53" s="78">
        <f t="shared" ca="1" si="1"/>
        <v>43769</v>
      </c>
      <c r="B53" s="79">
        <f t="shared" ca="1" si="2"/>
        <v>547031.40690774063</v>
      </c>
      <c r="C53" s="79">
        <f ca="1">IF(ISNA(MATCH($A53,Months,0))=TRUE,0,OFFSET(CashFlow!$B$26,0,MATCH($A53,Months,0),1,1))</f>
        <v>0</v>
      </c>
      <c r="D53" s="80">
        <f t="shared" ca="1" si="3"/>
        <v>29769.052023692682</v>
      </c>
      <c r="E53" s="80">
        <f t="shared" ca="1" si="4"/>
        <v>4786.5248104427301</v>
      </c>
      <c r="F53" s="80">
        <f t="shared" ca="1" si="0"/>
        <v>24982.527213249952</v>
      </c>
      <c r="G53" s="81">
        <f ca="1">IF(ROUND(SUM(B53:C53,-F53),0)=0,0,IF($B$6="Yes",SUM($C$9:C53),SUM(B53:C53,-F53)))</f>
        <v>522048.87969449069</v>
      </c>
    </row>
    <row r="54" spans="1:7" ht="15" customHeight="1" x14ac:dyDescent="0.3">
      <c r="A54" s="78">
        <f t="shared" ca="1" si="1"/>
        <v>43799</v>
      </c>
      <c r="B54" s="79">
        <f t="shared" ca="1" si="2"/>
        <v>522048.87969449069</v>
      </c>
      <c r="C54" s="79">
        <f ca="1">IF(ISNA(MATCH($A54,Months,0))=TRUE,0,OFFSET(CashFlow!$B$26,0,MATCH($A54,Months,0),1,1))</f>
        <v>0</v>
      </c>
      <c r="D54" s="80">
        <f t="shared" ca="1" si="3"/>
        <v>29769.052023692682</v>
      </c>
      <c r="E54" s="80">
        <f t="shared" ca="1" si="4"/>
        <v>4567.9276973267933</v>
      </c>
      <c r="F54" s="80">
        <f t="shared" ca="1" si="0"/>
        <v>25201.124326365891</v>
      </c>
      <c r="G54" s="81">
        <f ca="1">IF(ROUND(SUM(B54:C54,-F54),0)=0,0,IF($B$6="Yes",SUM($C$9:C54),SUM(B54:C54,-F54)))</f>
        <v>496847.75536812481</v>
      </c>
    </row>
    <row r="55" spans="1:7" ht="15" customHeight="1" x14ac:dyDescent="0.3">
      <c r="A55" s="78">
        <f t="shared" ca="1" si="1"/>
        <v>43830</v>
      </c>
      <c r="B55" s="79">
        <f t="shared" ca="1" si="2"/>
        <v>496847.75536812481</v>
      </c>
      <c r="C55" s="79">
        <f ca="1">IF(ISNA(MATCH($A55,Months,0))=TRUE,0,OFFSET(CashFlow!$B$26,0,MATCH($A55,Months,0),1,1))</f>
        <v>0</v>
      </c>
      <c r="D55" s="80">
        <f t="shared" ca="1" si="3"/>
        <v>29769.052023692682</v>
      </c>
      <c r="E55" s="80">
        <f t="shared" ca="1" si="4"/>
        <v>4347.417859471092</v>
      </c>
      <c r="F55" s="80">
        <f t="shared" ca="1" si="0"/>
        <v>25421.634164221592</v>
      </c>
      <c r="G55" s="81">
        <f ca="1">IF(ROUND(SUM(B55:C55,-F55),0)=0,0,IF($B$6="Yes",SUM($C$9:C55),SUM(B55:C55,-F55)))</f>
        <v>471426.12120390323</v>
      </c>
    </row>
    <row r="56" spans="1:7" ht="15" customHeight="1" x14ac:dyDescent="0.3">
      <c r="A56" s="78">
        <f t="shared" ca="1" si="1"/>
        <v>43861</v>
      </c>
      <c r="B56" s="79">
        <f t="shared" ca="1" si="2"/>
        <v>471426.12120390323</v>
      </c>
      <c r="C56" s="79">
        <f ca="1">IF(ISNA(MATCH($A56,Months,0))=TRUE,0,OFFSET(CashFlow!$B$26,0,MATCH($A56,Months,0),1,1))</f>
        <v>0</v>
      </c>
      <c r="D56" s="80">
        <f t="shared" ca="1" si="3"/>
        <v>29769.052023692682</v>
      </c>
      <c r="E56" s="80">
        <f t="shared" ca="1" si="4"/>
        <v>4124.9785605341531</v>
      </c>
      <c r="F56" s="80">
        <f t="shared" ca="1" si="0"/>
        <v>25644.073463158529</v>
      </c>
      <c r="G56" s="81">
        <f ca="1">IF(ROUND(SUM(B56:C56,-F56),0)=0,0,IF($B$6="Yes",SUM($C$9:C56),SUM(B56:C56,-F56)))</f>
        <v>445782.04774074472</v>
      </c>
    </row>
    <row r="57" spans="1:7" ht="15" customHeight="1" x14ac:dyDescent="0.3">
      <c r="A57" s="78">
        <f t="shared" ca="1" si="1"/>
        <v>43890</v>
      </c>
      <c r="B57" s="79">
        <f t="shared" ca="1" si="2"/>
        <v>445782.04774074472</v>
      </c>
      <c r="C57" s="79">
        <f ca="1">IF(ISNA(MATCH($A57,Months,0))=TRUE,0,OFFSET(CashFlow!$B$26,0,MATCH($A57,Months,0),1,1))</f>
        <v>0</v>
      </c>
      <c r="D57" s="80">
        <f t="shared" ca="1" si="3"/>
        <v>29769.052023692682</v>
      </c>
      <c r="E57" s="80">
        <f t="shared" ca="1" si="4"/>
        <v>3900.5929177315161</v>
      </c>
      <c r="F57" s="80">
        <f t="shared" ca="1" si="0"/>
        <v>25868.459105961167</v>
      </c>
      <c r="G57" s="81">
        <f ca="1">IF(ROUND(SUM(B57:C57,-F57),0)=0,0,IF($B$6="Yes",SUM($C$9:C57),SUM(B57:C57,-F57)))</f>
        <v>419913.58863478358</v>
      </c>
    </row>
    <row r="58" spans="1:7" ht="15" customHeight="1" x14ac:dyDescent="0.3">
      <c r="A58" s="78">
        <f t="shared" ca="1" si="1"/>
        <v>43921</v>
      </c>
      <c r="B58" s="79">
        <f t="shared" ca="1" si="2"/>
        <v>419913.58863478358</v>
      </c>
      <c r="C58" s="79">
        <f ca="1">IF(ISNA(MATCH($A58,Months,0))=TRUE,0,OFFSET(CashFlow!$B$26,0,MATCH($A58,Months,0),1,1))</f>
        <v>0</v>
      </c>
      <c r="D58" s="80">
        <f t="shared" ca="1" si="3"/>
        <v>29769.052023692682</v>
      </c>
      <c r="E58" s="80">
        <f t="shared" ca="1" si="4"/>
        <v>3674.2439005543561</v>
      </c>
      <c r="F58" s="80">
        <f t="shared" ca="1" si="0"/>
        <v>26094.808123138326</v>
      </c>
      <c r="G58" s="81">
        <f ca="1">IF(ROUND(SUM(B58:C58,-F58),0)=0,0,IF($B$6="Yes",SUM($C$9:C58),SUM(B58:C58,-F58)))</f>
        <v>393818.78051164525</v>
      </c>
    </row>
    <row r="59" spans="1:7" ht="15" customHeight="1" x14ac:dyDescent="0.3">
      <c r="A59" s="78">
        <f t="shared" ca="1" si="1"/>
        <v>43951</v>
      </c>
      <c r="B59" s="79">
        <f t="shared" ca="1" si="2"/>
        <v>393818.78051164525</v>
      </c>
      <c r="C59" s="79">
        <f ca="1">IF(ISNA(MATCH($A59,Months,0))=TRUE,0,OFFSET(CashFlow!$B$26,0,MATCH($A59,Months,0),1,1))</f>
        <v>0</v>
      </c>
      <c r="D59" s="80">
        <f t="shared" ca="1" si="3"/>
        <v>29769.052023692682</v>
      </c>
      <c r="E59" s="80">
        <f t="shared" ca="1" si="4"/>
        <v>3445.914329476896</v>
      </c>
      <c r="F59" s="80">
        <f t="shared" ca="1" si="0"/>
        <v>26323.137694215788</v>
      </c>
      <c r="G59" s="81">
        <f ca="1">IF(ROUND(SUM(B59:C59,-F59),0)=0,0,IF($B$6="Yes",SUM($C$9:C59),SUM(B59:C59,-F59)))</f>
        <v>367495.64281742944</v>
      </c>
    </row>
    <row r="60" spans="1:7" ht="15" customHeight="1" x14ac:dyDescent="0.3">
      <c r="A60" s="78">
        <f t="shared" ca="1" si="1"/>
        <v>43982</v>
      </c>
      <c r="B60" s="79">
        <f t="shared" ca="1" si="2"/>
        <v>367495.64281742944</v>
      </c>
      <c r="C60" s="79">
        <f ca="1">IF(ISNA(MATCH($A60,Months,0))=TRUE,0,OFFSET(CashFlow!$B$26,0,MATCH($A60,Months,0),1,1))</f>
        <v>0</v>
      </c>
      <c r="D60" s="80">
        <f t="shared" ca="1" si="3"/>
        <v>29769.052023692682</v>
      </c>
      <c r="E60" s="80">
        <f t="shared" ca="1" si="4"/>
        <v>3215.586874652507</v>
      </c>
      <c r="F60" s="80">
        <f t="shared" ca="1" si="0"/>
        <v>26553.465149040174</v>
      </c>
      <c r="G60" s="81">
        <f ca="1">IF(ROUND(SUM(B60:C60,-F60),0)=0,0,IF($B$6="Yes",SUM($C$9:C60),SUM(B60:C60,-F60)))</f>
        <v>340942.17766838928</v>
      </c>
    </row>
    <row r="61" spans="1:7" ht="15" customHeight="1" x14ac:dyDescent="0.3">
      <c r="A61" s="78">
        <f t="shared" ca="1" si="1"/>
        <v>44012</v>
      </c>
      <c r="B61" s="79">
        <f t="shared" ca="1" si="2"/>
        <v>340942.17766838928</v>
      </c>
      <c r="C61" s="79">
        <f ca="1">IF(ISNA(MATCH($A61,Months,0))=TRUE,0,OFFSET(CashFlow!$B$26,0,MATCH($A61,Months,0),1,1))</f>
        <v>0</v>
      </c>
      <c r="D61" s="80">
        <f t="shared" ca="1" si="3"/>
        <v>29769.052023692682</v>
      </c>
      <c r="E61" s="80">
        <f t="shared" ca="1" si="4"/>
        <v>2983.2440545984064</v>
      </c>
      <c r="F61" s="80">
        <f t="shared" ca="1" si="0"/>
        <v>26785.807969094276</v>
      </c>
      <c r="G61" s="81">
        <f ca="1">IF(ROUND(SUM(B61:C61,-F61),0)=0,0,IF($B$6="Yes",SUM($C$9:C61),SUM(B61:C61,-F61)))</f>
        <v>314156.36969929503</v>
      </c>
    </row>
    <row r="62" spans="1:7" ht="15" customHeight="1" x14ac:dyDescent="0.3">
      <c r="A62" s="78">
        <f t="shared" ca="1" si="1"/>
        <v>44043</v>
      </c>
      <c r="B62" s="79">
        <f t="shared" ca="1" si="2"/>
        <v>314156.36969929503</v>
      </c>
      <c r="C62" s="79">
        <f ca="1">IF(ISNA(MATCH($A62,Months,0))=TRUE,0,OFFSET(CashFlow!$B$26,0,MATCH($A62,Months,0),1,1))</f>
        <v>0</v>
      </c>
      <c r="D62" s="80">
        <f t="shared" ca="1" si="3"/>
        <v>29769.052023692682</v>
      </c>
      <c r="E62" s="80">
        <f t="shared" ca="1" si="4"/>
        <v>2748.8682348688312</v>
      </c>
      <c r="F62" s="80">
        <f t="shared" ca="1" si="0"/>
        <v>27020.183788823852</v>
      </c>
      <c r="G62" s="81">
        <f ca="1">IF(ROUND(SUM(B62:C62,-F62),0)=0,0,IF($B$6="Yes",SUM($C$9:C62),SUM(B62:C62,-F62)))</f>
        <v>287136.18591047119</v>
      </c>
    </row>
    <row r="63" spans="1:7" ht="15" customHeight="1" x14ac:dyDescent="0.3">
      <c r="A63" s="78">
        <f t="shared" ca="1" si="1"/>
        <v>44074</v>
      </c>
      <c r="B63" s="79">
        <f t="shared" ca="1" si="2"/>
        <v>287136.18591047119</v>
      </c>
      <c r="C63" s="79">
        <f ca="1">IF(ISNA(MATCH($A63,Months,0))=TRUE,0,OFFSET(CashFlow!$B$26,0,MATCH($A63,Months,0),1,1))</f>
        <v>0</v>
      </c>
      <c r="D63" s="80">
        <f t="shared" ca="1" si="3"/>
        <v>29769.052023692682</v>
      </c>
      <c r="E63" s="80">
        <f t="shared" ca="1" si="4"/>
        <v>2512.441626716623</v>
      </c>
      <c r="F63" s="80">
        <f t="shared" ca="1" si="0"/>
        <v>27256.610396976059</v>
      </c>
      <c r="G63" s="81">
        <f ca="1">IF(ROUND(SUM(B63:C63,-F63),0)=0,0,IF($B$6="Yes",SUM($C$9:C63),SUM(B63:C63,-F63)))</f>
        <v>259879.57551349513</v>
      </c>
    </row>
    <row r="64" spans="1:7" ht="15" customHeight="1" x14ac:dyDescent="0.3">
      <c r="A64" s="78">
        <f t="shared" ca="1" si="1"/>
        <v>44104</v>
      </c>
      <c r="B64" s="79">
        <f t="shared" ca="1" si="2"/>
        <v>259879.57551349513</v>
      </c>
      <c r="C64" s="79">
        <f ca="1">IF(ISNA(MATCH($A64,Months,0))=TRUE,0,OFFSET(CashFlow!$B$26,0,MATCH($A64,Months,0),1,1))</f>
        <v>0</v>
      </c>
      <c r="D64" s="80">
        <f t="shared" ca="1" si="3"/>
        <v>29769.052023692682</v>
      </c>
      <c r="E64" s="80">
        <f t="shared" ca="1" si="4"/>
        <v>2273.9462857430822</v>
      </c>
      <c r="F64" s="80">
        <f t="shared" ca="1" si="0"/>
        <v>27495.105737949601</v>
      </c>
      <c r="G64" s="81">
        <f ca="1">IF(ROUND(SUM(B64:C64,-F64),0)=0,0,IF($B$6="Yes",SUM($C$9:C64),SUM(B64:C64,-F64)))</f>
        <v>232384.46977554553</v>
      </c>
    </row>
    <row r="65" spans="1:7" ht="15" customHeight="1" x14ac:dyDescent="0.3">
      <c r="A65" s="78">
        <f t="shared" ca="1" si="1"/>
        <v>44135</v>
      </c>
      <c r="B65" s="79">
        <f t="shared" ca="1" si="2"/>
        <v>232384.46977554553</v>
      </c>
      <c r="C65" s="79">
        <f ca="1">IF(ISNA(MATCH($A65,Months,0))=TRUE,0,OFFSET(CashFlow!$B$26,0,MATCH($A65,Months,0),1,1))</f>
        <v>0</v>
      </c>
      <c r="D65" s="80">
        <f t="shared" ca="1" si="3"/>
        <v>29769.052023692682</v>
      </c>
      <c r="E65" s="80">
        <f t="shared" ca="1" si="4"/>
        <v>2033.3641105360232</v>
      </c>
      <c r="F65" s="80">
        <f t="shared" ca="1" si="0"/>
        <v>27735.68791315666</v>
      </c>
      <c r="G65" s="81">
        <f ca="1">IF(ROUND(SUM(B65:C65,-F65),0)=0,0,IF($B$6="Yes",SUM($C$9:C65),SUM(B65:C65,-F65)))</f>
        <v>204648.78186238886</v>
      </c>
    </row>
    <row r="66" spans="1:7" ht="15" customHeight="1" x14ac:dyDescent="0.3">
      <c r="A66" s="78">
        <f t="shared" ca="1" si="1"/>
        <v>44165</v>
      </c>
      <c r="B66" s="79">
        <f t="shared" ca="1" si="2"/>
        <v>204648.78186238886</v>
      </c>
      <c r="C66" s="79">
        <f ca="1">IF(ISNA(MATCH($A66,Months,0))=TRUE,0,OFFSET(CashFlow!$B$26,0,MATCH($A66,Months,0),1,1))</f>
        <v>0</v>
      </c>
      <c r="D66" s="80">
        <f t="shared" ca="1" si="3"/>
        <v>29769.052023692682</v>
      </c>
      <c r="E66" s="80">
        <f t="shared" ca="1" si="4"/>
        <v>1790.6768412959025</v>
      </c>
      <c r="F66" s="80">
        <f t="shared" ca="1" si="0"/>
        <v>27978.37518239678</v>
      </c>
      <c r="G66" s="81">
        <f ca="1">IF(ROUND(SUM(B66:C66,-F66),0)=0,0,IF($B$6="Yes",SUM($C$9:C66),SUM(B66:C66,-F66)))</f>
        <v>176670.40667999207</v>
      </c>
    </row>
    <row r="67" spans="1:7" ht="15" customHeight="1" x14ac:dyDescent="0.3">
      <c r="A67" s="78">
        <f t="shared" ca="1" si="1"/>
        <v>44196</v>
      </c>
      <c r="B67" s="79">
        <f t="shared" ca="1" si="2"/>
        <v>176670.40667999207</v>
      </c>
      <c r="C67" s="79">
        <f ca="1">IF(ISNA(MATCH($A67,Months,0))=TRUE,0,OFFSET(CashFlow!$B$26,0,MATCH($A67,Months,0),1,1))</f>
        <v>0</v>
      </c>
      <c r="D67" s="80">
        <f t="shared" ca="1" si="3"/>
        <v>29769.052023692682</v>
      </c>
      <c r="E67" s="80">
        <f t="shared" ca="1" si="4"/>
        <v>1545.8660584499305</v>
      </c>
      <c r="F67" s="80">
        <f t="shared" ca="1" si="0"/>
        <v>28223.185965242752</v>
      </c>
      <c r="G67" s="81">
        <f ca="1">IF(ROUND(SUM(B67:C67,-F67),0)=0,0,IF($B$6="Yes",SUM($C$9:C67),SUM(B67:C67,-F67)))</f>
        <v>148447.2207147493</v>
      </c>
    </row>
    <row r="68" spans="1:7" ht="15" customHeight="1" x14ac:dyDescent="0.3">
      <c r="A68" s="78">
        <f t="shared" ca="1" si="1"/>
        <v>44227</v>
      </c>
      <c r="B68" s="79">
        <f t="shared" ca="1" si="2"/>
        <v>148447.2207147493</v>
      </c>
      <c r="C68" s="79">
        <f ca="1">IF(ISNA(MATCH($A68,Months,0))=TRUE,0,OFFSET(CashFlow!$B$26,0,MATCH($A68,Months,0),1,1))</f>
        <v>0</v>
      </c>
      <c r="D68" s="80">
        <f t="shared" ca="1" si="3"/>
        <v>29769.052023692682</v>
      </c>
      <c r="E68" s="80">
        <f t="shared" ca="1" si="4"/>
        <v>1298.9131812540563</v>
      </c>
      <c r="F68" s="80">
        <f t="shared" ca="1" si="0"/>
        <v>28470.138842438624</v>
      </c>
      <c r="G68" s="81">
        <f ca="1">IF(ROUND(SUM(B68:C68,-F68),0)=0,0,IF($B$6="Yes",SUM($C$9:C68),SUM(B68:C68,-F68)))</f>
        <v>119977.08187231068</v>
      </c>
    </row>
    <row r="69" spans="1:7" ht="15" customHeight="1" x14ac:dyDescent="0.3">
      <c r="A69" s="78">
        <f t="shared" ca="1" si="1"/>
        <v>44255</v>
      </c>
      <c r="B69" s="79">
        <f t="shared" ca="1" si="2"/>
        <v>119977.08187231068</v>
      </c>
      <c r="C69" s="79">
        <f ca="1">IF(ISNA(MATCH($A69,Months,0))=TRUE,0,OFFSET(CashFlow!$B$26,0,MATCH($A69,Months,0),1,1))</f>
        <v>0</v>
      </c>
      <c r="D69" s="80">
        <f t="shared" ca="1" si="3"/>
        <v>29769.052023692682</v>
      </c>
      <c r="E69" s="80">
        <f t="shared" ca="1" si="4"/>
        <v>1049.7994663827183</v>
      </c>
      <c r="F69" s="80">
        <f t="shared" ca="1" si="0"/>
        <v>28719.252557309963</v>
      </c>
      <c r="G69" s="81">
        <f ca="1">IF(ROUND(SUM(B69:C69,-F69),0)=0,0,IF($B$6="Yes",SUM($C$9:C69),SUM(B69:C69,-F69)))</f>
        <v>91257.829315000708</v>
      </c>
    </row>
    <row r="70" spans="1:7" ht="15" customHeight="1" x14ac:dyDescent="0.3">
      <c r="A70" s="78">
        <f t="shared" ca="1" si="1"/>
        <v>44286</v>
      </c>
      <c r="B70" s="79">
        <f t="shared" ca="1" si="2"/>
        <v>91257.829315000708</v>
      </c>
      <c r="C70" s="79">
        <f ca="1">IF(ISNA(MATCH($A70,Months,0))=TRUE,0,OFFSET(CashFlow!$B$26,0,MATCH($A70,Months,0),1,1))</f>
        <v>0</v>
      </c>
      <c r="D70" s="80">
        <f t="shared" ca="1" si="3"/>
        <v>6125.7616077634766</v>
      </c>
      <c r="E70" s="80">
        <f t="shared" ca="1" si="4"/>
        <v>798.5060065062562</v>
      </c>
      <c r="F70" s="80">
        <f t="shared" ca="1" si="0"/>
        <v>5327.2556012572204</v>
      </c>
      <c r="G70" s="81">
        <f ca="1">IF(ROUND(SUM(B70:C70,-F70),0)=0,0,IF($B$6="Yes",SUM($C$9:C70),SUM(B70:C70,-F70)))</f>
        <v>85930.573713743492</v>
      </c>
    </row>
    <row r="71" spans="1:7" ht="15" customHeight="1" x14ac:dyDescent="0.3">
      <c r="A71" s="78">
        <f t="shared" ca="1" si="1"/>
        <v>44316</v>
      </c>
      <c r="B71" s="79">
        <f t="shared" ca="1" si="2"/>
        <v>85930.573713743492</v>
      </c>
      <c r="C71" s="79">
        <f ca="1">IF(ISNA(MATCH($A71,Months,0))=TRUE,0,OFFSET(CashFlow!$B$26,0,MATCH($A71,Months,0),1,1))</f>
        <v>0</v>
      </c>
      <c r="D71" s="80">
        <f t="shared" ca="1" si="3"/>
        <v>6125.7616077634766</v>
      </c>
      <c r="E71" s="80">
        <f t="shared" ca="1" si="4"/>
        <v>751.8925199952555</v>
      </c>
      <c r="F71" s="80">
        <f t="shared" ca="1" si="0"/>
        <v>5373.8690877682211</v>
      </c>
      <c r="G71" s="81">
        <f ca="1">IF(ROUND(SUM(B71:C71,-F71),0)=0,0,IF($B$6="Yes",SUM($C$9:C71),SUM(B71:C71,-F71)))</f>
        <v>80556.704625975268</v>
      </c>
    </row>
    <row r="72" spans="1:7" ht="15" customHeight="1" x14ac:dyDescent="0.3">
      <c r="A72" s="78">
        <f t="shared" ca="1" si="1"/>
        <v>44347</v>
      </c>
      <c r="B72" s="79">
        <f t="shared" ca="1" si="2"/>
        <v>80556.704625975268</v>
      </c>
      <c r="C72" s="79">
        <f ca="1">IF(ISNA(MATCH($A72,Months,0))=TRUE,0,OFFSET(CashFlow!$B$26,0,MATCH($A72,Months,0),1,1))</f>
        <v>0</v>
      </c>
      <c r="D72" s="80">
        <f t="shared" ca="1" si="3"/>
        <v>6125.7616077634766</v>
      </c>
      <c r="E72" s="80">
        <f t="shared" ca="1" si="4"/>
        <v>704.87116547728363</v>
      </c>
      <c r="F72" s="80">
        <f t="shared" ca="1" si="0"/>
        <v>5420.8904422861933</v>
      </c>
      <c r="G72" s="81">
        <f ca="1">IF(ROUND(SUM(B72:C72,-F72),0)=0,0,IF($B$6="Yes",SUM($C$9:C72),SUM(B72:C72,-F72)))</f>
        <v>75135.814183689072</v>
      </c>
    </row>
    <row r="73" spans="1:7" ht="15" customHeight="1" x14ac:dyDescent="0.3">
      <c r="A73" s="78">
        <f t="shared" ca="1" si="1"/>
        <v>44377</v>
      </c>
      <c r="B73" s="79">
        <f t="shared" ca="1" si="2"/>
        <v>75135.814183689072</v>
      </c>
      <c r="C73" s="79">
        <f ca="1">IF(ISNA(MATCH($A73,Months,0))=TRUE,0,OFFSET(CashFlow!$B$26,0,MATCH($A73,Months,0),1,1))</f>
        <v>0</v>
      </c>
      <c r="D73" s="80">
        <f t="shared" ca="1" si="3"/>
        <v>6125.7616077634766</v>
      </c>
      <c r="E73" s="80">
        <f t="shared" ca="1" si="4"/>
        <v>657.4383741072794</v>
      </c>
      <c r="F73" s="80">
        <f t="shared" ca="1" si="0"/>
        <v>5468.3232336561969</v>
      </c>
      <c r="G73" s="81">
        <f ca="1">IF(ROUND(SUM(B73:C73,-F73),0)=0,0,IF($B$6="Yes",SUM($C$9:C73),SUM(B73:C73,-F73)))</f>
        <v>69667.490950032879</v>
      </c>
    </row>
    <row r="74" spans="1:7" ht="15" customHeight="1" x14ac:dyDescent="0.3">
      <c r="A74" s="78">
        <f t="shared" ca="1" si="1"/>
        <v>44408</v>
      </c>
      <c r="B74" s="79">
        <f t="shared" ca="1" si="2"/>
        <v>69667.490950032879</v>
      </c>
      <c r="C74" s="79">
        <f ca="1">IF(ISNA(MATCH($A74,Months,0))=TRUE,0,OFFSET(CashFlow!$B$26,0,MATCH($A74,Months,0),1,1))</f>
        <v>0</v>
      </c>
      <c r="D74" s="80">
        <f t="shared" ca="1" si="3"/>
        <v>3976.3715699517297</v>
      </c>
      <c r="E74" s="80">
        <f t="shared" ca="1" si="4"/>
        <v>609.5905458127877</v>
      </c>
      <c r="F74" s="80">
        <f t="shared" ref="F74:F128" ca="1" si="5">IF($B$6="Yes",0,D74-E74)</f>
        <v>3366.781024138942</v>
      </c>
      <c r="G74" s="81">
        <f ca="1">IF(ROUND(SUM(B74:C74,-F74),0)=0,0,IF($B$6="Yes",SUM($C$9:C74),SUM(B74:C74,-F74)))</f>
        <v>66300.709925893942</v>
      </c>
    </row>
    <row r="75" spans="1:7" ht="15" customHeight="1" x14ac:dyDescent="0.3">
      <c r="A75" s="78">
        <f t="shared" ref="A75:A125" ca="1" si="6">DATE(YEAR(A74),MONTH(A74)+2,0)</f>
        <v>44439</v>
      </c>
      <c r="B75" s="79">
        <f t="shared" ref="B75:B128" ca="1" si="7">G74</f>
        <v>66300.709925893942</v>
      </c>
      <c r="C75" s="79">
        <f ca="1">IF(ISNA(MATCH($A75,Months,0))=TRUE,0,OFFSET(CashFlow!$B$26,0,MATCH($A75,Months,0),1,1))</f>
        <v>0</v>
      </c>
      <c r="D75" s="80">
        <f t="shared" ref="D75:D138" ca="1" si="8">IF($B$6="Yes",0,IF(ROW(C75)-ROW($C$9)&gt;$B$5*12,-PMT($B$4/12,$B$5*12,SUM(OFFSET(C75,0,0,-$B$5*12,1)),0,0),-PMT($B$4/12,$B$5*12,SUM(OFFSET(C75,0,0,ROW($C$8)-ROW(C75),1)),0,0)))</f>
        <v>3976.3715699517297</v>
      </c>
      <c r="E75" s="80">
        <f t="shared" ref="E75:E138" ca="1" si="9">(G74+C75)*$B$4/12</f>
        <v>580.13121185157195</v>
      </c>
      <c r="F75" s="80">
        <f t="shared" ca="1" si="5"/>
        <v>3396.2403581001577</v>
      </c>
      <c r="G75" s="81">
        <f ca="1">IF(ROUND(SUM(B75:C75,-F75),0)=0,0,IF($B$6="Yes",SUM($C$9:C75),SUM(B75:C75,-F75)))</f>
        <v>62904.469567793785</v>
      </c>
    </row>
    <row r="76" spans="1:7" ht="15" customHeight="1" x14ac:dyDescent="0.3">
      <c r="A76" s="78">
        <f t="shared" ca="1" si="6"/>
        <v>44469</v>
      </c>
      <c r="B76" s="79">
        <f t="shared" ca="1" si="7"/>
        <v>62904.469567793785</v>
      </c>
      <c r="C76" s="79">
        <f ca="1">IF(ISNA(MATCH($A76,Months,0))=TRUE,0,OFFSET(CashFlow!$B$26,0,MATCH($A76,Months,0),1,1))</f>
        <v>0</v>
      </c>
      <c r="D76" s="80">
        <f t="shared" ca="1" si="8"/>
        <v>3976.3715699517297</v>
      </c>
      <c r="E76" s="80">
        <f t="shared" ca="1" si="9"/>
        <v>550.41410871819562</v>
      </c>
      <c r="F76" s="80">
        <f t="shared" ca="1" si="5"/>
        <v>3425.9574612335341</v>
      </c>
      <c r="G76" s="81">
        <f ca="1">IF(ROUND(SUM(B76:C76,-F76),0)=0,0,IF($B$6="Yes",SUM($C$9:C76),SUM(B76:C76,-F76)))</f>
        <v>59478.512106560251</v>
      </c>
    </row>
    <row r="77" spans="1:7" ht="15" customHeight="1" x14ac:dyDescent="0.3">
      <c r="A77" s="78">
        <f t="shared" ca="1" si="6"/>
        <v>44500</v>
      </c>
      <c r="B77" s="79">
        <f t="shared" ca="1" si="7"/>
        <v>59478.512106560251</v>
      </c>
      <c r="C77" s="79">
        <f ca="1">IF(ISNA(MATCH($A77,Months,0))=TRUE,0,OFFSET(CashFlow!$B$26,0,MATCH($A77,Months,0),1,1))</f>
        <v>0</v>
      </c>
      <c r="D77" s="80">
        <f t="shared" ca="1" si="8"/>
        <v>3976.3715699517297</v>
      </c>
      <c r="E77" s="80">
        <f t="shared" ca="1" si="9"/>
        <v>520.43698093240221</v>
      </c>
      <c r="F77" s="80">
        <f t="shared" ca="1" si="5"/>
        <v>3455.9345890193276</v>
      </c>
      <c r="G77" s="81">
        <f ca="1">IF(ROUND(SUM(B77:C77,-F77),0)=0,0,IF($B$6="Yes",SUM($C$9:C77),SUM(B77:C77,-F77)))</f>
        <v>56022.577517540922</v>
      </c>
    </row>
    <row r="78" spans="1:7" ht="15" customHeight="1" x14ac:dyDescent="0.3">
      <c r="A78" s="78">
        <f t="shared" ca="1" si="6"/>
        <v>44530</v>
      </c>
      <c r="B78" s="79">
        <f t="shared" ca="1" si="7"/>
        <v>56022.577517540922</v>
      </c>
      <c r="C78" s="79">
        <f ca="1">IF(ISNA(MATCH($A78,Months,0))=TRUE,0,OFFSET(CashFlow!$B$26,0,MATCH($A78,Months,0),1,1))</f>
        <v>0</v>
      </c>
      <c r="D78" s="80">
        <f t="shared" ca="1" si="8"/>
        <v>3976.3715699517297</v>
      </c>
      <c r="E78" s="80">
        <f t="shared" ca="1" si="9"/>
        <v>490.1975532784831</v>
      </c>
      <c r="F78" s="80">
        <f t="shared" ca="1" si="5"/>
        <v>3486.1740166732466</v>
      </c>
      <c r="G78" s="81">
        <f ca="1">IF(ROUND(SUM(B78:C78,-F78),0)=0,0,IF($B$6="Yes",SUM($C$9:C78),SUM(B78:C78,-F78)))</f>
        <v>52536.403500867673</v>
      </c>
    </row>
    <row r="79" spans="1:7" ht="15" customHeight="1" x14ac:dyDescent="0.3">
      <c r="A79" s="78">
        <f t="shared" ca="1" si="6"/>
        <v>44561</v>
      </c>
      <c r="B79" s="79">
        <f t="shared" ca="1" si="7"/>
        <v>52536.403500867673</v>
      </c>
      <c r="C79" s="79">
        <f ca="1">IF(ISNA(MATCH($A79,Months,0))=TRUE,0,OFFSET(CashFlow!$B$26,0,MATCH($A79,Months,0),1,1))</f>
        <v>0</v>
      </c>
      <c r="D79" s="80">
        <f t="shared" ca="1" si="8"/>
        <v>3976.3715699517297</v>
      </c>
      <c r="E79" s="80">
        <f t="shared" ca="1" si="9"/>
        <v>459.69353063259217</v>
      </c>
      <c r="F79" s="80">
        <f t="shared" ca="1" si="5"/>
        <v>3516.6780393191375</v>
      </c>
      <c r="G79" s="81">
        <f ca="1">IF(ROUND(SUM(B79:C79,-F79),0)=0,0,IF($B$6="Yes",SUM($C$9:C79),SUM(B79:C79,-F79)))</f>
        <v>49019.725461548536</v>
      </c>
    </row>
    <row r="80" spans="1:7" ht="15" customHeight="1" x14ac:dyDescent="0.3">
      <c r="A80" s="78">
        <f t="shared" ca="1" si="6"/>
        <v>44592</v>
      </c>
      <c r="B80" s="79">
        <f t="shared" ca="1" si="7"/>
        <v>49019.725461548536</v>
      </c>
      <c r="C80" s="79">
        <f ca="1">IF(ISNA(MATCH($A80,Months,0))=TRUE,0,OFFSET(CashFlow!$B$26,0,MATCH($A80,Months,0),1,1))</f>
        <v>0</v>
      </c>
      <c r="D80" s="80">
        <f t="shared" ca="1" si="8"/>
        <v>3976.3715699517297</v>
      </c>
      <c r="E80" s="80">
        <f t="shared" ca="1" si="9"/>
        <v>428.92259778854969</v>
      </c>
      <c r="F80" s="80">
        <f t="shared" ca="1" si="5"/>
        <v>3547.4489721631799</v>
      </c>
      <c r="G80" s="81">
        <f ca="1">IF(ROUND(SUM(B80:C80,-F80),0)=0,0,IF($B$6="Yes",SUM($C$9:C80),SUM(B80:C80,-F80)))</f>
        <v>45472.27648938536</v>
      </c>
    </row>
    <row r="81" spans="1:7" ht="15" customHeight="1" x14ac:dyDescent="0.3">
      <c r="A81" s="78">
        <f t="shared" ca="1" si="6"/>
        <v>44620</v>
      </c>
      <c r="B81" s="79">
        <f t="shared" ca="1" si="7"/>
        <v>45472.27648938536</v>
      </c>
      <c r="C81" s="79">
        <f ca="1">IF(ISNA(MATCH($A81,Months,0))=TRUE,0,OFFSET(CashFlow!$B$26,0,MATCH($A81,Months,0),1,1))</f>
        <v>0</v>
      </c>
      <c r="D81" s="80">
        <f t="shared" ca="1" si="8"/>
        <v>3976.3715699517297</v>
      </c>
      <c r="E81" s="80">
        <f t="shared" ca="1" si="9"/>
        <v>397.88241928212187</v>
      </c>
      <c r="F81" s="80">
        <f t="shared" ca="1" si="5"/>
        <v>3578.4891506696076</v>
      </c>
      <c r="G81" s="81">
        <f ca="1">IF(ROUND(SUM(B81:C81,-F81),0)=0,0,IF($B$6="Yes",SUM($C$9:C81),SUM(B81:C81,-F81)))</f>
        <v>41893.787338715752</v>
      </c>
    </row>
    <row r="82" spans="1:7" ht="15" customHeight="1" x14ac:dyDescent="0.3">
      <c r="A82" s="78">
        <f t="shared" ca="1" si="6"/>
        <v>44651</v>
      </c>
      <c r="B82" s="79">
        <f t="shared" ca="1" si="7"/>
        <v>41893.787338715752</v>
      </c>
      <c r="C82" s="79">
        <f ca="1">IF(ISNA(MATCH($A82,Months,0))=TRUE,0,OFFSET(CashFlow!$B$26,0,MATCH($A82,Months,0),1,1))</f>
        <v>0</v>
      </c>
      <c r="D82" s="80">
        <f t="shared" ca="1" si="8"/>
        <v>3976.3715699517297</v>
      </c>
      <c r="E82" s="80">
        <f t="shared" ca="1" si="9"/>
        <v>366.57063921376283</v>
      </c>
      <c r="F82" s="80">
        <f t="shared" ca="1" si="5"/>
        <v>3609.8009307379671</v>
      </c>
      <c r="G82" s="81">
        <f ca="1">IF(ROUND(SUM(B82:C82,-F82),0)=0,0,IF($B$6="Yes",SUM($C$9:C82),SUM(B82:C82,-F82)))</f>
        <v>38283.986407977784</v>
      </c>
    </row>
    <row r="83" spans="1:7" ht="15" customHeight="1" x14ac:dyDescent="0.3">
      <c r="A83" s="78">
        <f t="shared" ca="1" si="6"/>
        <v>44681</v>
      </c>
      <c r="B83" s="79">
        <f t="shared" ca="1" si="7"/>
        <v>38283.986407977784</v>
      </c>
      <c r="C83" s="79">
        <f ca="1">IF(ISNA(MATCH($A83,Months,0))=TRUE,0,OFFSET(CashFlow!$B$26,0,MATCH($A83,Months,0),1,1))</f>
        <v>0</v>
      </c>
      <c r="D83" s="80">
        <f t="shared" ca="1" si="8"/>
        <v>3976.3715699517297</v>
      </c>
      <c r="E83" s="80">
        <f t="shared" ca="1" si="9"/>
        <v>334.98488106980557</v>
      </c>
      <c r="F83" s="80">
        <f t="shared" ca="1" si="5"/>
        <v>3641.3866888819243</v>
      </c>
      <c r="G83" s="81">
        <f ca="1">IF(ROUND(SUM(B83:C83,-F83),0)=0,0,IF($B$6="Yes",SUM($C$9:C83),SUM(B83:C83,-F83)))</f>
        <v>34642.599719095859</v>
      </c>
    </row>
    <row r="84" spans="1:7" ht="15" customHeight="1" x14ac:dyDescent="0.3">
      <c r="A84" s="78">
        <f t="shared" ca="1" si="6"/>
        <v>44712</v>
      </c>
      <c r="B84" s="79">
        <f t="shared" ca="1" si="7"/>
        <v>34642.599719095859</v>
      </c>
      <c r="C84" s="79">
        <f ca="1">IF(ISNA(MATCH($A84,Months,0))=TRUE,0,OFFSET(CashFlow!$B$26,0,MATCH($A84,Months,0),1,1))</f>
        <v>0</v>
      </c>
      <c r="D84" s="80">
        <f t="shared" ca="1" si="8"/>
        <v>3976.3715699517297</v>
      </c>
      <c r="E84" s="80">
        <f t="shared" ca="1" si="9"/>
        <v>303.12274754208875</v>
      </c>
      <c r="F84" s="80">
        <f t="shared" ca="1" si="5"/>
        <v>3673.248822409641</v>
      </c>
      <c r="G84" s="81">
        <f ca="1">IF(ROUND(SUM(B84:C84,-F84),0)=0,0,IF($B$6="Yes",SUM($C$9:C84),SUM(B84:C84,-F84)))</f>
        <v>30969.350896686217</v>
      </c>
    </row>
    <row r="85" spans="1:7" ht="15" customHeight="1" x14ac:dyDescent="0.3">
      <c r="A85" s="78">
        <f t="shared" ca="1" si="6"/>
        <v>44742</v>
      </c>
      <c r="B85" s="79">
        <f t="shared" ca="1" si="7"/>
        <v>30969.350896686217</v>
      </c>
      <c r="C85" s="79">
        <f ca="1">IF(ISNA(MATCH($A85,Months,0))=TRUE,0,OFFSET(CashFlow!$B$26,0,MATCH($A85,Months,0),1,1))</f>
        <v>0</v>
      </c>
      <c r="D85" s="80">
        <f t="shared" ca="1" si="8"/>
        <v>2256.8595397023332</v>
      </c>
      <c r="E85" s="80">
        <f t="shared" ca="1" si="9"/>
        <v>270.98182034600438</v>
      </c>
      <c r="F85" s="80">
        <f t="shared" ca="1" si="5"/>
        <v>1985.8777193563287</v>
      </c>
      <c r="G85" s="81">
        <f ca="1">IF(ROUND(SUM(B85:C85,-F85),0)=0,0,IF($B$6="Yes",SUM($C$9:C85),SUM(B85:C85,-F85)))</f>
        <v>28983.473177329888</v>
      </c>
    </row>
    <row r="86" spans="1:7" ht="15" customHeight="1" x14ac:dyDescent="0.3">
      <c r="A86" s="78">
        <f t="shared" ca="1" si="6"/>
        <v>44773</v>
      </c>
      <c r="B86" s="79">
        <f t="shared" ca="1" si="7"/>
        <v>28983.473177329888</v>
      </c>
      <c r="C86" s="79">
        <f ca="1">IF(ISNA(MATCH($A86,Months,0))=TRUE,0,OFFSET(CashFlow!$B$26,0,MATCH($A86,Months,0),1,1))</f>
        <v>0</v>
      </c>
      <c r="D86" s="80">
        <f t="shared" ca="1" si="8"/>
        <v>2256.8595397023332</v>
      </c>
      <c r="E86" s="80">
        <f t="shared" ca="1" si="9"/>
        <v>253.6053903016365</v>
      </c>
      <c r="F86" s="80">
        <f t="shared" ca="1" si="5"/>
        <v>2003.2541494006966</v>
      </c>
      <c r="G86" s="81">
        <f ca="1">IF(ROUND(SUM(B86:C86,-F86),0)=0,0,IF($B$6="Yes",SUM($C$9:C86),SUM(B86:C86,-F86)))</f>
        <v>26980.21902792919</v>
      </c>
    </row>
    <row r="87" spans="1:7" ht="15" customHeight="1" x14ac:dyDescent="0.3">
      <c r="A87" s="78">
        <f t="shared" ca="1" si="6"/>
        <v>44804</v>
      </c>
      <c r="B87" s="79">
        <f t="shared" ca="1" si="7"/>
        <v>26980.21902792919</v>
      </c>
      <c r="C87" s="79">
        <f ca="1">IF(ISNA(MATCH($A87,Months,0))=TRUE,0,OFFSET(CashFlow!$B$26,0,MATCH($A87,Months,0),1,1))</f>
        <v>0</v>
      </c>
      <c r="D87" s="80">
        <f t="shared" ca="1" si="8"/>
        <v>2256.8595397023332</v>
      </c>
      <c r="E87" s="80">
        <f t="shared" ca="1" si="9"/>
        <v>236.07691649438038</v>
      </c>
      <c r="F87" s="80">
        <f t="shared" ca="1" si="5"/>
        <v>2020.7826232079528</v>
      </c>
      <c r="G87" s="81">
        <f ca="1">IF(ROUND(SUM(B87:C87,-F87),0)=0,0,IF($B$6="Yes",SUM($C$9:C87),SUM(B87:C87,-F87)))</f>
        <v>24959.436404721237</v>
      </c>
    </row>
    <row r="88" spans="1:7" ht="15" customHeight="1" x14ac:dyDescent="0.3">
      <c r="A88" s="78">
        <f t="shared" ca="1" si="6"/>
        <v>44834</v>
      </c>
      <c r="B88" s="79">
        <f t="shared" ca="1" si="7"/>
        <v>24959.436404721237</v>
      </c>
      <c r="C88" s="79">
        <f ca="1">IF(ISNA(MATCH($A88,Months,0))=TRUE,0,OFFSET(CashFlow!$B$26,0,MATCH($A88,Months,0),1,1))</f>
        <v>0</v>
      </c>
      <c r="D88" s="80">
        <f t="shared" ca="1" si="8"/>
        <v>2256.8595397023332</v>
      </c>
      <c r="E88" s="80">
        <f t="shared" ca="1" si="9"/>
        <v>218.39506854131082</v>
      </c>
      <c r="F88" s="80">
        <f t="shared" ca="1" si="5"/>
        <v>2038.4644711610224</v>
      </c>
      <c r="G88" s="81">
        <f ca="1">IF(ROUND(SUM(B88:C88,-F88),0)=0,0,IF($B$6="Yes",SUM($C$9:C88),SUM(B88:C88,-F88)))</f>
        <v>22920.971933560213</v>
      </c>
    </row>
    <row r="89" spans="1:7" ht="15" customHeight="1" x14ac:dyDescent="0.3">
      <c r="A89" s="78">
        <f t="shared" ca="1" si="6"/>
        <v>44865</v>
      </c>
      <c r="B89" s="79">
        <f t="shared" ca="1" si="7"/>
        <v>22920.971933560213</v>
      </c>
      <c r="C89" s="79">
        <f ca="1">IF(ISNA(MATCH($A89,Months,0))=TRUE,0,OFFSET(CashFlow!$B$26,0,MATCH($A89,Months,0),1,1))</f>
        <v>0</v>
      </c>
      <c r="D89" s="80">
        <f t="shared" ca="1" si="8"/>
        <v>2256.8595397023332</v>
      </c>
      <c r="E89" s="80">
        <f t="shared" ca="1" si="9"/>
        <v>200.55850441865186</v>
      </c>
      <c r="F89" s="80">
        <f t="shared" ca="1" si="5"/>
        <v>2056.3010352836814</v>
      </c>
      <c r="G89" s="81">
        <f ca="1">IF(ROUND(SUM(B89:C89,-F89),0)=0,0,IF($B$6="Yes",SUM($C$9:C89),SUM(B89:C89,-F89)))</f>
        <v>20864.67089827653</v>
      </c>
    </row>
    <row r="90" spans="1:7" ht="15" customHeight="1" x14ac:dyDescent="0.3">
      <c r="A90" s="78">
        <f t="shared" ca="1" si="6"/>
        <v>44895</v>
      </c>
      <c r="B90" s="79">
        <f t="shared" ca="1" si="7"/>
        <v>20864.67089827653</v>
      </c>
      <c r="C90" s="79">
        <f ca="1">IF(ISNA(MATCH($A90,Months,0))=TRUE,0,OFFSET(CashFlow!$B$26,0,MATCH($A90,Months,0),1,1))</f>
        <v>0</v>
      </c>
      <c r="D90" s="80">
        <f t="shared" ca="1" si="8"/>
        <v>2256.8595397023332</v>
      </c>
      <c r="E90" s="80">
        <f t="shared" ca="1" si="9"/>
        <v>182.56587035991961</v>
      </c>
      <c r="F90" s="80">
        <f t="shared" ca="1" si="5"/>
        <v>2074.2936693424135</v>
      </c>
      <c r="G90" s="81">
        <f ca="1">IF(ROUND(SUM(B90:C90,-F90),0)=0,0,IF($B$6="Yes",SUM($C$9:C90),SUM(B90:C90,-F90)))</f>
        <v>18790.377228934118</v>
      </c>
    </row>
    <row r="91" spans="1:7" ht="15" customHeight="1" x14ac:dyDescent="0.3">
      <c r="A91" s="78">
        <f t="shared" ca="1" si="6"/>
        <v>44926</v>
      </c>
      <c r="B91" s="79">
        <f t="shared" ca="1" si="7"/>
        <v>18790.377228934118</v>
      </c>
      <c r="C91" s="79">
        <f ca="1">IF(ISNA(MATCH($A91,Months,0))=TRUE,0,OFFSET(CashFlow!$B$26,0,MATCH($A91,Months,0),1,1))</f>
        <v>0</v>
      </c>
      <c r="D91" s="80">
        <f t="shared" ca="1" si="8"/>
        <v>2256.8595397023332</v>
      </c>
      <c r="E91" s="80">
        <f t="shared" ca="1" si="9"/>
        <v>164.41580075317353</v>
      </c>
      <c r="F91" s="80">
        <f t="shared" ca="1" si="5"/>
        <v>2092.4437389491595</v>
      </c>
      <c r="G91" s="81">
        <f ca="1">IF(ROUND(SUM(B91:C91,-F91),0)=0,0,IF($B$6="Yes",SUM($C$9:C91),SUM(B91:C91,-F91)))</f>
        <v>16697.933489984956</v>
      </c>
    </row>
    <row r="92" spans="1:7" ht="15" customHeight="1" x14ac:dyDescent="0.3">
      <c r="A92" s="78">
        <f t="shared" ca="1" si="6"/>
        <v>44957</v>
      </c>
      <c r="B92" s="79">
        <f t="shared" ca="1" si="7"/>
        <v>16697.933489984956</v>
      </c>
      <c r="C92" s="79">
        <f ca="1">IF(ISNA(MATCH($A92,Months,0))=TRUE,0,OFFSET(CashFlow!$B$26,0,MATCH($A92,Months,0),1,1))</f>
        <v>0</v>
      </c>
      <c r="D92" s="80">
        <f t="shared" ca="1" si="8"/>
        <v>2256.8595397023332</v>
      </c>
      <c r="E92" s="80">
        <f t="shared" ca="1" si="9"/>
        <v>146.10691803736836</v>
      </c>
      <c r="F92" s="80">
        <f t="shared" ca="1" si="5"/>
        <v>2110.7526216649649</v>
      </c>
      <c r="G92" s="81">
        <f ca="1">IF(ROUND(SUM(B92:C92,-F92),0)=0,0,IF($B$6="Yes",SUM($C$9:C92),SUM(B92:C92,-F92)))</f>
        <v>14587.180868319992</v>
      </c>
    </row>
    <row r="93" spans="1:7" ht="15" customHeight="1" x14ac:dyDescent="0.3">
      <c r="A93" s="78">
        <f t="shared" ca="1" si="6"/>
        <v>44985</v>
      </c>
      <c r="B93" s="79">
        <f t="shared" ca="1" si="7"/>
        <v>14587.180868319992</v>
      </c>
      <c r="C93" s="79">
        <f ca="1">IF(ISNA(MATCH($A93,Months,0))=TRUE,0,OFFSET(CashFlow!$B$26,0,MATCH($A93,Months,0),1,1))</f>
        <v>0</v>
      </c>
      <c r="D93" s="80">
        <f t="shared" ca="1" si="8"/>
        <v>2256.8595397023332</v>
      </c>
      <c r="E93" s="80">
        <f t="shared" ca="1" si="9"/>
        <v>127.63783259779994</v>
      </c>
      <c r="F93" s="80">
        <f t="shared" ca="1" si="5"/>
        <v>2129.2217071045334</v>
      </c>
      <c r="G93" s="81">
        <f ca="1">IF(ROUND(SUM(B93:C93,-F93),0)=0,0,IF($B$6="Yes",SUM($C$9:C93),SUM(B93:C93,-F93)))</f>
        <v>12457.959161215458</v>
      </c>
    </row>
    <row r="94" spans="1:7" ht="15" customHeight="1" x14ac:dyDescent="0.3">
      <c r="A94" s="78">
        <f t="shared" ca="1" si="6"/>
        <v>45016</v>
      </c>
      <c r="B94" s="79">
        <f t="shared" ca="1" si="7"/>
        <v>12457.959161215458</v>
      </c>
      <c r="C94" s="79">
        <f ca="1">IF(ISNA(MATCH($A94,Months,0))=TRUE,0,OFFSET(CashFlow!$B$26,0,MATCH($A94,Months,0),1,1))</f>
        <v>0</v>
      </c>
      <c r="D94" s="80">
        <f t="shared" ca="1" si="8"/>
        <v>2256.8595397023332</v>
      </c>
      <c r="E94" s="80">
        <f t="shared" ca="1" si="9"/>
        <v>109.00714266063527</v>
      </c>
      <c r="F94" s="80">
        <f t="shared" ca="1" si="5"/>
        <v>2147.8523970416982</v>
      </c>
      <c r="G94" s="81">
        <f ca="1">IF(ROUND(SUM(B94:C94,-F94),0)=0,0,IF($B$6="Yes",SUM($C$9:C94),SUM(B94:C94,-F94)))</f>
        <v>10310.106764173761</v>
      </c>
    </row>
    <row r="95" spans="1:7" ht="15" customHeight="1" x14ac:dyDescent="0.3">
      <c r="A95" s="78">
        <f t="shared" ca="1" si="6"/>
        <v>45046</v>
      </c>
      <c r="B95" s="79">
        <f t="shared" ca="1" si="7"/>
        <v>10310.106764173761</v>
      </c>
      <c r="C95" s="79">
        <f ca="1">IF(ISNA(MATCH($A95,Months,0))=TRUE,0,OFFSET(CashFlow!$B$26,0,MATCH($A95,Months,0),1,1))</f>
        <v>0</v>
      </c>
      <c r="D95" s="80">
        <f t="shared" ca="1" si="8"/>
        <v>2256.8595397023332</v>
      </c>
      <c r="E95" s="80">
        <f t="shared" ca="1" si="9"/>
        <v>90.213434186520416</v>
      </c>
      <c r="F95" s="80">
        <f t="shared" ca="1" si="5"/>
        <v>2166.6461055158129</v>
      </c>
      <c r="G95" s="81">
        <f ca="1">IF(ROUND(SUM(B95:C95,-F95),0)=0,0,IF($B$6="Yes",SUM($C$9:C95),SUM(B95:C95,-F95)))</f>
        <v>8143.4606586579484</v>
      </c>
    </row>
    <row r="96" spans="1:7" ht="15" customHeight="1" x14ac:dyDescent="0.3">
      <c r="A96" s="78">
        <f t="shared" ca="1" si="6"/>
        <v>45077</v>
      </c>
      <c r="B96" s="79">
        <f t="shared" ca="1" si="7"/>
        <v>8143.4606586579484</v>
      </c>
      <c r="C96" s="79">
        <f ca="1">IF(ISNA(MATCH($A96,Months,0))=TRUE,0,OFFSET(CashFlow!$B$26,0,MATCH($A96,Months,0),1,1))</f>
        <v>0</v>
      </c>
      <c r="D96" s="80">
        <f t="shared" ca="1" si="8"/>
        <v>2256.8595397023332</v>
      </c>
      <c r="E96" s="80">
        <f t="shared" ca="1" si="9"/>
        <v>71.255280763257048</v>
      </c>
      <c r="F96" s="80">
        <f t="shared" ca="1" si="5"/>
        <v>2185.6042589390763</v>
      </c>
      <c r="G96" s="81">
        <f ca="1">IF(ROUND(SUM(B96:C96,-F96),0)=0,0,IF($B$6="Yes",SUM($C$9:C96),SUM(B96:C96,-F96)))</f>
        <v>5957.8563997188721</v>
      </c>
    </row>
    <row r="97" spans="1:7" ht="15" customHeight="1" x14ac:dyDescent="0.3">
      <c r="A97" s="78">
        <f t="shared" ca="1" si="6"/>
        <v>45107</v>
      </c>
      <c r="B97" s="79">
        <f t="shared" ca="1" si="7"/>
        <v>5957.8563997188721</v>
      </c>
      <c r="C97" s="79">
        <f ca="1">IF(ISNA(MATCH($A97,Months,0))=TRUE,0,OFFSET(CashFlow!$B$26,0,MATCH($A97,Months,0),1,1))</f>
        <v>0</v>
      </c>
      <c r="D97" s="80">
        <f t="shared" ca="1" si="8"/>
        <v>2256.8595397023332</v>
      </c>
      <c r="E97" s="80">
        <f t="shared" ca="1" si="9"/>
        <v>52.131243497540133</v>
      </c>
      <c r="F97" s="80">
        <f t="shared" ca="1" si="5"/>
        <v>2204.728296204793</v>
      </c>
      <c r="G97" s="81">
        <f ca="1">IF(ROUND(SUM(B97:C97,-F97),0)=0,0,IF($B$6="Yes",SUM($C$9:C97),SUM(B97:C97,-F97)))</f>
        <v>3753.1281035140792</v>
      </c>
    </row>
    <row r="98" spans="1:7" ht="15" customHeight="1" x14ac:dyDescent="0.3">
      <c r="A98" s="78">
        <f t="shared" ca="1" si="6"/>
        <v>45138</v>
      </c>
      <c r="B98" s="79">
        <f t="shared" ca="1" si="7"/>
        <v>3753.1281035140792</v>
      </c>
      <c r="C98" s="79">
        <f ca="1">IF(ISNA(MATCH($A98,Months,0))=TRUE,0,OFFSET(CashFlow!$B$26,0,MATCH($A98,Months,0),1,1))</f>
        <v>0</v>
      </c>
      <c r="D98" s="80">
        <f t="shared" ca="1" si="8"/>
        <v>644.81701134352375</v>
      </c>
      <c r="E98" s="80">
        <f t="shared" ca="1" si="9"/>
        <v>32.839870905748192</v>
      </c>
      <c r="F98" s="80">
        <f t="shared" ca="1" si="5"/>
        <v>611.97714043777557</v>
      </c>
      <c r="G98" s="81">
        <f ca="1">IF(ROUND(SUM(B98:C98,-F98),0)=0,0,IF($B$6="Yes",SUM($C$9:C98),SUM(B98:C98,-F98)))</f>
        <v>3141.1509630763035</v>
      </c>
    </row>
    <row r="99" spans="1:7" ht="15" customHeight="1" x14ac:dyDescent="0.3">
      <c r="A99" s="78">
        <f t="shared" ca="1" si="6"/>
        <v>45169</v>
      </c>
      <c r="B99" s="79">
        <f t="shared" ca="1" si="7"/>
        <v>3141.1509630763035</v>
      </c>
      <c r="C99" s="79">
        <f ca="1">IF(ISNA(MATCH($A99,Months,0))=TRUE,0,OFFSET(CashFlow!$B$26,0,MATCH($A99,Months,0),1,1))</f>
        <v>0</v>
      </c>
      <c r="D99" s="80">
        <f t="shared" ca="1" si="8"/>
        <v>644.81701134352375</v>
      </c>
      <c r="E99" s="80">
        <f t="shared" ca="1" si="9"/>
        <v>27.485070926917654</v>
      </c>
      <c r="F99" s="80">
        <f t="shared" ca="1" si="5"/>
        <v>617.33194041660613</v>
      </c>
      <c r="G99" s="81">
        <f ca="1">IF(ROUND(SUM(B99:C99,-F99),0)=0,0,IF($B$6="Yes",SUM($C$9:C99),SUM(B99:C99,-F99)))</f>
        <v>2523.8190226596971</v>
      </c>
    </row>
    <row r="100" spans="1:7" ht="15" customHeight="1" x14ac:dyDescent="0.3">
      <c r="A100" s="78">
        <f t="shared" ca="1" si="6"/>
        <v>45199</v>
      </c>
      <c r="B100" s="79">
        <f t="shared" ca="1" si="7"/>
        <v>2523.8190226596971</v>
      </c>
      <c r="C100" s="79">
        <f ca="1">IF(ISNA(MATCH($A100,Months,0))=TRUE,0,OFFSET(CashFlow!$B$26,0,MATCH($A100,Months,0),1,1))</f>
        <v>0</v>
      </c>
      <c r="D100" s="80">
        <f t="shared" ca="1" si="8"/>
        <v>644.81701134352375</v>
      </c>
      <c r="E100" s="80">
        <f t="shared" ca="1" si="9"/>
        <v>22.083416448272349</v>
      </c>
      <c r="F100" s="80">
        <f t="shared" ca="1" si="5"/>
        <v>622.73359489525137</v>
      </c>
      <c r="G100" s="81">
        <f ca="1">IF(ROUND(SUM(B100:C100,-F100),0)=0,0,IF($B$6="Yes",SUM($C$9:C100),SUM(B100:C100,-F100)))</f>
        <v>1901.0854277644457</v>
      </c>
    </row>
    <row r="101" spans="1:7" ht="15" customHeight="1" x14ac:dyDescent="0.3">
      <c r="A101" s="78">
        <f t="shared" ca="1" si="6"/>
        <v>45230</v>
      </c>
      <c r="B101" s="79">
        <f t="shared" ca="1" si="7"/>
        <v>1901.0854277644457</v>
      </c>
      <c r="C101" s="79">
        <f ca="1">IF(ISNA(MATCH($A101,Months,0))=TRUE,0,OFFSET(CashFlow!$B$26,0,MATCH($A101,Months,0),1,1))</f>
        <v>0</v>
      </c>
      <c r="D101" s="80">
        <f t="shared" ca="1" si="8"/>
        <v>644.81701134352375</v>
      </c>
      <c r="E101" s="80">
        <f t="shared" ca="1" si="9"/>
        <v>16.634497492938902</v>
      </c>
      <c r="F101" s="80">
        <f t="shared" ca="1" si="5"/>
        <v>628.18251385058488</v>
      </c>
      <c r="G101" s="81">
        <f ca="1">IF(ROUND(SUM(B101:C101,-F101),0)=0,0,IF($B$6="Yes",SUM($C$9:C101),SUM(B101:C101,-F101)))</f>
        <v>1272.9029139138609</v>
      </c>
    </row>
    <row r="102" spans="1:7" ht="15" customHeight="1" x14ac:dyDescent="0.3">
      <c r="A102" s="78">
        <f t="shared" ca="1" si="6"/>
        <v>45260</v>
      </c>
      <c r="B102" s="79">
        <f t="shared" ca="1" si="7"/>
        <v>1272.9029139138609</v>
      </c>
      <c r="C102" s="79">
        <f ca="1">IF(ISNA(MATCH($A102,Months,0))=TRUE,0,OFFSET(CashFlow!$B$26,0,MATCH($A102,Months,0),1,1))</f>
        <v>0</v>
      </c>
      <c r="D102" s="80">
        <f t="shared" ca="1" si="8"/>
        <v>644.81701134352375</v>
      </c>
      <c r="E102" s="80">
        <f t="shared" ca="1" si="9"/>
        <v>11.137900496746282</v>
      </c>
      <c r="F102" s="80">
        <f t="shared" ca="1" si="5"/>
        <v>633.67911084677746</v>
      </c>
      <c r="G102" s="81">
        <f ca="1">IF(ROUND(SUM(B102:C102,-F102),0)=0,0,IF($B$6="Yes",SUM($C$9:C102),SUM(B102:C102,-F102)))</f>
        <v>639.2238030670834</v>
      </c>
    </row>
    <row r="103" spans="1:7" ht="15" customHeight="1" x14ac:dyDescent="0.3">
      <c r="A103" s="78">
        <f t="shared" ca="1" si="6"/>
        <v>45291</v>
      </c>
      <c r="B103" s="79">
        <f t="shared" ca="1" si="7"/>
        <v>639.2238030670834</v>
      </c>
      <c r="C103" s="79">
        <f ca="1">IF(ISNA(MATCH($A103,Months,0))=TRUE,0,OFFSET(CashFlow!$B$26,0,MATCH($A103,Months,0),1,1))</f>
        <v>0</v>
      </c>
      <c r="D103" s="80">
        <f t="shared" ca="1" si="8"/>
        <v>644.81701134352375</v>
      </c>
      <c r="E103" s="80">
        <f t="shared" ca="1" si="9"/>
        <v>5.5932082768369797</v>
      </c>
      <c r="F103" s="80">
        <f t="shared" ca="1" si="5"/>
        <v>639.22380306668674</v>
      </c>
      <c r="G103" s="81">
        <f ca="1">IF(ROUND(SUM(B103:C103,-F103),0)=0,0,IF($B$6="Yes",SUM($C$9:C103),SUM(B103:C103,-F103)))</f>
        <v>0</v>
      </c>
    </row>
    <row r="104" spans="1:7" ht="15" customHeight="1" x14ac:dyDescent="0.3">
      <c r="A104" s="78">
        <f t="shared" ca="1" si="6"/>
        <v>45322</v>
      </c>
      <c r="B104" s="79">
        <f t="shared" ca="1" si="7"/>
        <v>0</v>
      </c>
      <c r="C104" s="79">
        <f ca="1">IF(ISNA(MATCH($A104,Months,0))=TRUE,0,OFFSET(CashFlow!$B$26,0,MATCH($A104,Months,0),1,1))</f>
        <v>0</v>
      </c>
      <c r="D104" s="80">
        <f t="shared" ca="1" si="8"/>
        <v>0</v>
      </c>
      <c r="E104" s="80">
        <f t="shared" ca="1" si="9"/>
        <v>0</v>
      </c>
      <c r="F104" s="80">
        <f t="shared" ca="1" si="5"/>
        <v>0</v>
      </c>
      <c r="G104" s="81">
        <f ca="1">IF(ROUND(SUM(B104:C104,-F104),0)=0,0,IF($B$6="Yes",SUM($C$9:C104),SUM(B104:C104,-F104)))</f>
        <v>0</v>
      </c>
    </row>
    <row r="105" spans="1:7" ht="15" customHeight="1" x14ac:dyDescent="0.3">
      <c r="A105" s="78">
        <f t="shared" ca="1" si="6"/>
        <v>45351</v>
      </c>
      <c r="B105" s="79">
        <f t="shared" ca="1" si="7"/>
        <v>0</v>
      </c>
      <c r="C105" s="79">
        <f ca="1">IF(ISNA(MATCH($A105,Months,0))=TRUE,0,OFFSET(CashFlow!$B$26,0,MATCH($A105,Months,0),1,1))</f>
        <v>0</v>
      </c>
      <c r="D105" s="80">
        <f t="shared" ca="1" si="8"/>
        <v>0</v>
      </c>
      <c r="E105" s="80">
        <f t="shared" ca="1" si="9"/>
        <v>0</v>
      </c>
      <c r="F105" s="80">
        <f t="shared" ca="1" si="5"/>
        <v>0</v>
      </c>
      <c r="G105" s="81">
        <f ca="1">IF(ROUND(SUM(B105:C105,-F105),0)=0,0,IF($B$6="Yes",SUM($C$9:C105),SUM(B105:C105,-F105)))</f>
        <v>0</v>
      </c>
    </row>
    <row r="106" spans="1:7" ht="15" customHeight="1" x14ac:dyDescent="0.3">
      <c r="A106" s="78">
        <f t="shared" ca="1" si="6"/>
        <v>45382</v>
      </c>
      <c r="B106" s="79">
        <f t="shared" ca="1" si="7"/>
        <v>0</v>
      </c>
      <c r="C106" s="79">
        <f ca="1">IF(ISNA(MATCH($A106,Months,0))=TRUE,0,OFFSET(CashFlow!$B$26,0,MATCH($A106,Months,0),1,1))</f>
        <v>0</v>
      </c>
      <c r="D106" s="80">
        <f t="shared" ca="1" si="8"/>
        <v>0</v>
      </c>
      <c r="E106" s="80">
        <f t="shared" ca="1" si="9"/>
        <v>0</v>
      </c>
      <c r="F106" s="80">
        <f t="shared" ca="1" si="5"/>
        <v>0</v>
      </c>
      <c r="G106" s="81">
        <f ca="1">IF(ROUND(SUM(B106:C106,-F106),0)=0,0,IF($B$6="Yes",SUM($C$9:C106),SUM(B106:C106,-F106)))</f>
        <v>0</v>
      </c>
    </row>
    <row r="107" spans="1:7" ht="15" customHeight="1" x14ac:dyDescent="0.3">
      <c r="A107" s="78">
        <f t="shared" ca="1" si="6"/>
        <v>45412</v>
      </c>
      <c r="B107" s="79">
        <f t="shared" ca="1" si="7"/>
        <v>0</v>
      </c>
      <c r="C107" s="79">
        <f ca="1">IF(ISNA(MATCH($A107,Months,0))=TRUE,0,OFFSET(CashFlow!$B$26,0,MATCH($A107,Months,0),1,1))</f>
        <v>0</v>
      </c>
      <c r="D107" s="80">
        <f t="shared" ca="1" si="8"/>
        <v>0</v>
      </c>
      <c r="E107" s="80">
        <f t="shared" ca="1" si="9"/>
        <v>0</v>
      </c>
      <c r="F107" s="80">
        <f t="shared" ca="1" si="5"/>
        <v>0</v>
      </c>
      <c r="G107" s="81">
        <f ca="1">IF(ROUND(SUM(B107:C107,-F107),0)=0,0,IF($B$6="Yes",SUM($C$9:C107),SUM(B107:C107,-F107)))</f>
        <v>0</v>
      </c>
    </row>
    <row r="108" spans="1:7" ht="15" customHeight="1" x14ac:dyDescent="0.3">
      <c r="A108" s="78">
        <f t="shared" ca="1" si="6"/>
        <v>45443</v>
      </c>
      <c r="B108" s="79">
        <f t="shared" ca="1" si="7"/>
        <v>0</v>
      </c>
      <c r="C108" s="79">
        <f ca="1">IF(ISNA(MATCH($A108,Months,0))=TRUE,0,OFFSET(CashFlow!$B$26,0,MATCH($A108,Months,0),1,1))</f>
        <v>0</v>
      </c>
      <c r="D108" s="80">
        <f t="shared" ca="1" si="8"/>
        <v>0</v>
      </c>
      <c r="E108" s="80">
        <f t="shared" ca="1" si="9"/>
        <v>0</v>
      </c>
      <c r="F108" s="80">
        <f t="shared" ca="1" si="5"/>
        <v>0</v>
      </c>
      <c r="G108" s="81">
        <f ca="1">IF(ROUND(SUM(B108:C108,-F108),0)=0,0,IF($B$6="Yes",SUM($C$9:C108),SUM(B108:C108,-F108)))</f>
        <v>0</v>
      </c>
    </row>
    <row r="109" spans="1:7" ht="15" customHeight="1" x14ac:dyDescent="0.3">
      <c r="A109" s="78">
        <f t="shared" ca="1" si="6"/>
        <v>45473</v>
      </c>
      <c r="B109" s="79">
        <f t="shared" ca="1" si="7"/>
        <v>0</v>
      </c>
      <c r="C109" s="79">
        <f ca="1">IF(ISNA(MATCH($A109,Months,0))=TRUE,0,OFFSET(CashFlow!$B$26,0,MATCH($A109,Months,0),1,1))</f>
        <v>0</v>
      </c>
      <c r="D109" s="80">
        <f t="shared" ca="1" si="8"/>
        <v>0</v>
      </c>
      <c r="E109" s="80">
        <f t="shared" ca="1" si="9"/>
        <v>0</v>
      </c>
      <c r="F109" s="80">
        <f t="shared" ca="1" si="5"/>
        <v>0</v>
      </c>
      <c r="G109" s="81">
        <f ca="1">IF(ROUND(SUM(B109:C109,-F109),0)=0,0,IF($B$6="Yes",SUM($C$9:C109),SUM(B109:C109,-F109)))</f>
        <v>0</v>
      </c>
    </row>
    <row r="110" spans="1:7" ht="15" customHeight="1" x14ac:dyDescent="0.3">
      <c r="A110" s="78">
        <f t="shared" ca="1" si="6"/>
        <v>45504</v>
      </c>
      <c r="B110" s="79">
        <f t="shared" ca="1" si="7"/>
        <v>0</v>
      </c>
      <c r="C110" s="79">
        <f ca="1">IF(ISNA(MATCH($A110,Months,0))=TRUE,0,OFFSET(CashFlow!$B$26,0,MATCH($A110,Months,0),1,1))</f>
        <v>0</v>
      </c>
      <c r="D110" s="80">
        <f t="shared" ca="1" si="8"/>
        <v>0</v>
      </c>
      <c r="E110" s="80">
        <f t="shared" ca="1" si="9"/>
        <v>0</v>
      </c>
      <c r="F110" s="80">
        <f t="shared" ca="1" si="5"/>
        <v>0</v>
      </c>
      <c r="G110" s="81">
        <f ca="1">IF(ROUND(SUM(B110:C110,-F110),0)=0,0,IF($B$6="Yes",SUM($C$9:C110),SUM(B110:C110,-F110)))</f>
        <v>0</v>
      </c>
    </row>
    <row r="111" spans="1:7" ht="15" customHeight="1" x14ac:dyDescent="0.3">
      <c r="A111" s="78">
        <f t="shared" ca="1" si="6"/>
        <v>45535</v>
      </c>
      <c r="B111" s="79">
        <f t="shared" ca="1" si="7"/>
        <v>0</v>
      </c>
      <c r="C111" s="79">
        <f ca="1">IF(ISNA(MATCH($A111,Months,0))=TRUE,0,OFFSET(CashFlow!$B$26,0,MATCH($A111,Months,0),1,1))</f>
        <v>0</v>
      </c>
      <c r="D111" s="80">
        <f t="shared" ca="1" si="8"/>
        <v>0</v>
      </c>
      <c r="E111" s="80">
        <f t="shared" ca="1" si="9"/>
        <v>0</v>
      </c>
      <c r="F111" s="80">
        <f t="shared" ca="1" si="5"/>
        <v>0</v>
      </c>
      <c r="G111" s="81">
        <f ca="1">IF(ROUND(SUM(B111:C111,-F111),0)=0,0,IF($B$6="Yes",SUM($C$9:C111),SUM(B111:C111,-F111)))</f>
        <v>0</v>
      </c>
    </row>
    <row r="112" spans="1:7" ht="15" customHeight="1" x14ac:dyDescent="0.3">
      <c r="A112" s="78">
        <f t="shared" ca="1" si="6"/>
        <v>45565</v>
      </c>
      <c r="B112" s="79">
        <f t="shared" ca="1" si="7"/>
        <v>0</v>
      </c>
      <c r="C112" s="79">
        <f ca="1">IF(ISNA(MATCH($A112,Months,0))=TRUE,0,OFFSET(CashFlow!$B$26,0,MATCH($A112,Months,0),1,1))</f>
        <v>0</v>
      </c>
      <c r="D112" s="80">
        <f t="shared" ca="1" si="8"/>
        <v>0</v>
      </c>
      <c r="E112" s="80">
        <f t="shared" ca="1" si="9"/>
        <v>0</v>
      </c>
      <c r="F112" s="80">
        <f t="shared" ca="1" si="5"/>
        <v>0</v>
      </c>
      <c r="G112" s="81">
        <f ca="1">IF(ROUND(SUM(B112:C112,-F112),0)=0,0,IF($B$6="Yes",SUM($C$9:C112),SUM(B112:C112,-F112)))</f>
        <v>0</v>
      </c>
    </row>
    <row r="113" spans="1:7" ht="15" customHeight="1" x14ac:dyDescent="0.3">
      <c r="A113" s="78">
        <f t="shared" ca="1" si="6"/>
        <v>45596</v>
      </c>
      <c r="B113" s="79">
        <f t="shared" ca="1" si="7"/>
        <v>0</v>
      </c>
      <c r="C113" s="79">
        <f ca="1">IF(ISNA(MATCH($A113,Months,0))=TRUE,0,OFFSET(CashFlow!$B$26,0,MATCH($A113,Months,0),1,1))</f>
        <v>0</v>
      </c>
      <c r="D113" s="80">
        <f t="shared" ca="1" si="8"/>
        <v>0</v>
      </c>
      <c r="E113" s="80">
        <f t="shared" ca="1" si="9"/>
        <v>0</v>
      </c>
      <c r="F113" s="80">
        <f t="shared" ca="1" si="5"/>
        <v>0</v>
      </c>
      <c r="G113" s="81">
        <f ca="1">IF(ROUND(SUM(B113:C113,-F113),0)=0,0,IF($B$6="Yes",SUM($C$9:C113),SUM(B113:C113,-F113)))</f>
        <v>0</v>
      </c>
    </row>
    <row r="114" spans="1:7" ht="15" customHeight="1" x14ac:dyDescent="0.3">
      <c r="A114" s="78">
        <f t="shared" ca="1" si="6"/>
        <v>45626</v>
      </c>
      <c r="B114" s="79">
        <f t="shared" ca="1" si="7"/>
        <v>0</v>
      </c>
      <c r="C114" s="79">
        <f ca="1">IF(ISNA(MATCH($A114,Months,0))=TRUE,0,OFFSET(CashFlow!$B$26,0,MATCH($A114,Months,0),1,1))</f>
        <v>0</v>
      </c>
      <c r="D114" s="80">
        <f t="shared" ca="1" si="8"/>
        <v>0</v>
      </c>
      <c r="E114" s="80">
        <f t="shared" ca="1" si="9"/>
        <v>0</v>
      </c>
      <c r="F114" s="80">
        <f t="shared" ca="1" si="5"/>
        <v>0</v>
      </c>
      <c r="G114" s="81">
        <f ca="1">IF(ROUND(SUM(B114:C114,-F114),0)=0,0,IF($B$6="Yes",SUM($C$9:C114),SUM(B114:C114,-F114)))</f>
        <v>0</v>
      </c>
    </row>
    <row r="115" spans="1:7" ht="15" customHeight="1" x14ac:dyDescent="0.3">
      <c r="A115" s="78">
        <f t="shared" ca="1" si="6"/>
        <v>45657</v>
      </c>
      <c r="B115" s="79">
        <f t="shared" ca="1" si="7"/>
        <v>0</v>
      </c>
      <c r="C115" s="79">
        <f ca="1">IF(ISNA(MATCH($A115,Months,0))=TRUE,0,OFFSET(CashFlow!$B$26,0,MATCH($A115,Months,0),1,1))</f>
        <v>0</v>
      </c>
      <c r="D115" s="80">
        <f t="shared" ca="1" si="8"/>
        <v>0</v>
      </c>
      <c r="E115" s="80">
        <f t="shared" ca="1" si="9"/>
        <v>0</v>
      </c>
      <c r="F115" s="80">
        <f t="shared" ca="1" si="5"/>
        <v>0</v>
      </c>
      <c r="G115" s="81">
        <f ca="1">IF(ROUND(SUM(B115:C115,-F115),0)=0,0,IF($B$6="Yes",SUM($C$9:C115),SUM(B115:C115,-F115)))</f>
        <v>0</v>
      </c>
    </row>
    <row r="116" spans="1:7" ht="15" customHeight="1" x14ac:dyDescent="0.3">
      <c r="A116" s="78">
        <f t="shared" ca="1" si="6"/>
        <v>45688</v>
      </c>
      <c r="B116" s="79">
        <f t="shared" ca="1" si="7"/>
        <v>0</v>
      </c>
      <c r="C116" s="79">
        <f ca="1">IF(ISNA(MATCH($A116,Months,0))=TRUE,0,OFFSET(CashFlow!$B$26,0,MATCH($A116,Months,0),1,1))</f>
        <v>0</v>
      </c>
      <c r="D116" s="80">
        <f t="shared" ca="1" si="8"/>
        <v>0</v>
      </c>
      <c r="E116" s="80">
        <f t="shared" ca="1" si="9"/>
        <v>0</v>
      </c>
      <c r="F116" s="80">
        <f t="shared" ca="1" si="5"/>
        <v>0</v>
      </c>
      <c r="G116" s="81">
        <f ca="1">IF(ROUND(SUM(B116:C116,-F116),0)=0,0,IF($B$6="Yes",SUM($C$9:C116),SUM(B116:C116,-F116)))</f>
        <v>0</v>
      </c>
    </row>
    <row r="117" spans="1:7" ht="15" customHeight="1" x14ac:dyDescent="0.3">
      <c r="A117" s="78">
        <f t="shared" ca="1" si="6"/>
        <v>45716</v>
      </c>
      <c r="B117" s="79">
        <f t="shared" ca="1" si="7"/>
        <v>0</v>
      </c>
      <c r="C117" s="79">
        <f ca="1">IF(ISNA(MATCH($A117,Months,0))=TRUE,0,OFFSET(CashFlow!$B$26,0,MATCH($A117,Months,0),1,1))</f>
        <v>0</v>
      </c>
      <c r="D117" s="80">
        <f t="shared" ca="1" si="8"/>
        <v>0</v>
      </c>
      <c r="E117" s="80">
        <f t="shared" ca="1" si="9"/>
        <v>0</v>
      </c>
      <c r="F117" s="80">
        <f t="shared" ca="1" si="5"/>
        <v>0</v>
      </c>
      <c r="G117" s="81">
        <f ca="1">IF(ROUND(SUM(B117:C117,-F117),0)=0,0,IF($B$6="Yes",SUM($C$9:C117),SUM(B117:C117,-F117)))</f>
        <v>0</v>
      </c>
    </row>
    <row r="118" spans="1:7" ht="15" customHeight="1" x14ac:dyDescent="0.3">
      <c r="A118" s="78">
        <f t="shared" ca="1" si="6"/>
        <v>45747</v>
      </c>
      <c r="B118" s="79">
        <f t="shared" ca="1" si="7"/>
        <v>0</v>
      </c>
      <c r="C118" s="79">
        <f ca="1">IF(ISNA(MATCH($A118,Months,0))=TRUE,0,OFFSET(CashFlow!$B$26,0,MATCH($A118,Months,0),1,1))</f>
        <v>0</v>
      </c>
      <c r="D118" s="80">
        <f t="shared" ca="1" si="8"/>
        <v>0</v>
      </c>
      <c r="E118" s="80">
        <f t="shared" ca="1" si="9"/>
        <v>0</v>
      </c>
      <c r="F118" s="80">
        <f t="shared" ca="1" si="5"/>
        <v>0</v>
      </c>
      <c r="G118" s="81">
        <f ca="1">IF(ROUND(SUM(B118:C118,-F118),0)=0,0,IF($B$6="Yes",SUM($C$9:C118),SUM(B118:C118,-F118)))</f>
        <v>0</v>
      </c>
    </row>
    <row r="119" spans="1:7" ht="15" customHeight="1" x14ac:dyDescent="0.3">
      <c r="A119" s="78">
        <f t="shared" ca="1" si="6"/>
        <v>45777</v>
      </c>
      <c r="B119" s="79">
        <f t="shared" ca="1" si="7"/>
        <v>0</v>
      </c>
      <c r="C119" s="79">
        <f ca="1">IF(ISNA(MATCH($A119,Months,0))=TRUE,0,OFFSET(CashFlow!$B$26,0,MATCH($A119,Months,0),1,1))</f>
        <v>0</v>
      </c>
      <c r="D119" s="80">
        <f t="shared" ca="1" si="8"/>
        <v>0</v>
      </c>
      <c r="E119" s="80">
        <f t="shared" ca="1" si="9"/>
        <v>0</v>
      </c>
      <c r="F119" s="80">
        <f t="shared" ca="1" si="5"/>
        <v>0</v>
      </c>
      <c r="G119" s="81">
        <f ca="1">IF(ROUND(SUM(B119:C119,-F119),0)=0,0,IF($B$6="Yes",SUM($C$9:C119),SUM(B119:C119,-F119)))</f>
        <v>0</v>
      </c>
    </row>
    <row r="120" spans="1:7" ht="15" customHeight="1" x14ac:dyDescent="0.3">
      <c r="A120" s="78">
        <f t="shared" ca="1" si="6"/>
        <v>45808</v>
      </c>
      <c r="B120" s="79">
        <f t="shared" ca="1" si="7"/>
        <v>0</v>
      </c>
      <c r="C120" s="79">
        <f ca="1">IF(ISNA(MATCH($A120,Months,0))=TRUE,0,OFFSET(CashFlow!$B$26,0,MATCH($A120,Months,0),1,1))</f>
        <v>0</v>
      </c>
      <c r="D120" s="80">
        <f t="shared" ca="1" si="8"/>
        <v>0</v>
      </c>
      <c r="E120" s="80">
        <f t="shared" ca="1" si="9"/>
        <v>0</v>
      </c>
      <c r="F120" s="80">
        <f t="shared" ca="1" si="5"/>
        <v>0</v>
      </c>
      <c r="G120" s="81">
        <f ca="1">IF(ROUND(SUM(B120:C120,-F120),0)=0,0,IF($B$6="Yes",SUM($C$9:C120),SUM(B120:C120,-F120)))</f>
        <v>0</v>
      </c>
    </row>
    <row r="121" spans="1:7" ht="15" customHeight="1" x14ac:dyDescent="0.3">
      <c r="A121" s="78">
        <f t="shared" ca="1" si="6"/>
        <v>45838</v>
      </c>
      <c r="B121" s="79">
        <f t="shared" ca="1" si="7"/>
        <v>0</v>
      </c>
      <c r="C121" s="79">
        <f ca="1">IF(ISNA(MATCH($A121,Months,0))=TRUE,0,OFFSET(CashFlow!$B$26,0,MATCH($A121,Months,0),1,1))</f>
        <v>0</v>
      </c>
      <c r="D121" s="80">
        <f t="shared" ca="1" si="8"/>
        <v>0</v>
      </c>
      <c r="E121" s="80">
        <f t="shared" ca="1" si="9"/>
        <v>0</v>
      </c>
      <c r="F121" s="80">
        <f t="shared" ca="1" si="5"/>
        <v>0</v>
      </c>
      <c r="G121" s="81">
        <f ca="1">IF(ROUND(SUM(B121:C121,-F121),0)=0,0,IF($B$6="Yes",SUM($C$9:C121),SUM(B121:C121,-F121)))</f>
        <v>0</v>
      </c>
    </row>
    <row r="122" spans="1:7" ht="15" customHeight="1" x14ac:dyDescent="0.3">
      <c r="A122" s="78">
        <f t="shared" ca="1" si="6"/>
        <v>45869</v>
      </c>
      <c r="B122" s="79">
        <f t="shared" ca="1" si="7"/>
        <v>0</v>
      </c>
      <c r="C122" s="79">
        <f ca="1">IF(ISNA(MATCH($A122,Months,0))=TRUE,0,OFFSET(CashFlow!$B$26,0,MATCH($A122,Months,0),1,1))</f>
        <v>0</v>
      </c>
      <c r="D122" s="80">
        <f t="shared" ca="1" si="8"/>
        <v>0</v>
      </c>
      <c r="E122" s="80">
        <f t="shared" ca="1" si="9"/>
        <v>0</v>
      </c>
      <c r="F122" s="80">
        <f t="shared" ca="1" si="5"/>
        <v>0</v>
      </c>
      <c r="G122" s="81">
        <f ca="1">IF(ROUND(SUM(B122:C122,-F122),0)=0,0,IF($B$6="Yes",SUM($C$9:C122),SUM(B122:C122,-F122)))</f>
        <v>0</v>
      </c>
    </row>
    <row r="123" spans="1:7" ht="15" customHeight="1" x14ac:dyDescent="0.3">
      <c r="A123" s="78">
        <f t="shared" ca="1" si="6"/>
        <v>45900</v>
      </c>
      <c r="B123" s="79">
        <f t="shared" ca="1" si="7"/>
        <v>0</v>
      </c>
      <c r="C123" s="79">
        <f ca="1">IF(ISNA(MATCH($A123,Months,0))=TRUE,0,OFFSET(CashFlow!$B$26,0,MATCH($A123,Months,0),1,1))</f>
        <v>0</v>
      </c>
      <c r="D123" s="80">
        <f t="shared" ca="1" si="8"/>
        <v>0</v>
      </c>
      <c r="E123" s="80">
        <f t="shared" ca="1" si="9"/>
        <v>0</v>
      </c>
      <c r="F123" s="80">
        <f t="shared" ca="1" si="5"/>
        <v>0</v>
      </c>
      <c r="G123" s="81">
        <f ca="1">IF(ROUND(SUM(B123:C123,-F123),0)=0,0,IF($B$6="Yes",SUM($C$9:C123),SUM(B123:C123,-F123)))</f>
        <v>0</v>
      </c>
    </row>
    <row r="124" spans="1:7" ht="15" customHeight="1" x14ac:dyDescent="0.3">
      <c r="A124" s="78">
        <f t="shared" ca="1" si="6"/>
        <v>45930</v>
      </c>
      <c r="B124" s="79">
        <f t="shared" ca="1" si="7"/>
        <v>0</v>
      </c>
      <c r="C124" s="79">
        <f ca="1">IF(ISNA(MATCH($A124,Months,0))=TRUE,0,OFFSET(CashFlow!$B$26,0,MATCH($A124,Months,0),1,1))</f>
        <v>0</v>
      </c>
      <c r="D124" s="80">
        <f t="shared" ca="1" si="8"/>
        <v>0</v>
      </c>
      <c r="E124" s="80">
        <f t="shared" ca="1" si="9"/>
        <v>0</v>
      </c>
      <c r="F124" s="80">
        <f t="shared" ca="1" si="5"/>
        <v>0</v>
      </c>
      <c r="G124" s="81">
        <f ca="1">IF(ROUND(SUM(B124:C124,-F124),0)=0,0,IF($B$6="Yes",SUM($C$9:C124),SUM(B124:C124,-F124)))</f>
        <v>0</v>
      </c>
    </row>
    <row r="125" spans="1:7" ht="15" customHeight="1" x14ac:dyDescent="0.3">
      <c r="A125" s="78">
        <f t="shared" ca="1" si="6"/>
        <v>45961</v>
      </c>
      <c r="B125" s="79">
        <f t="shared" ca="1" si="7"/>
        <v>0</v>
      </c>
      <c r="C125" s="79">
        <f ca="1">IF(ISNA(MATCH($A125,Months,0))=TRUE,0,OFFSET(CashFlow!$B$26,0,MATCH($A125,Months,0),1,1))</f>
        <v>0</v>
      </c>
      <c r="D125" s="80">
        <f t="shared" ca="1" si="8"/>
        <v>0</v>
      </c>
      <c r="E125" s="80">
        <f t="shared" ca="1" si="9"/>
        <v>0</v>
      </c>
      <c r="F125" s="80">
        <f t="shared" ca="1" si="5"/>
        <v>0</v>
      </c>
      <c r="G125" s="81">
        <f ca="1">IF(ROUND(SUM(B125:C125,-F125),0)=0,0,IF($B$6="Yes",SUM($C$9:C125),SUM(B125:C125,-F125)))</f>
        <v>0</v>
      </c>
    </row>
    <row r="126" spans="1:7" ht="15" customHeight="1" x14ac:dyDescent="0.3">
      <c r="A126" s="78">
        <f ca="1">DATE(YEAR(A125),MONTH(A125)+2,0)</f>
        <v>45991</v>
      </c>
      <c r="B126" s="79">
        <f t="shared" ca="1" si="7"/>
        <v>0</v>
      </c>
      <c r="C126" s="79">
        <f ca="1">IF(ISNA(MATCH($A126,Months,0))=TRUE,0,OFFSET(CashFlow!$B$26,0,MATCH($A126,Months,0),1,1))</f>
        <v>0</v>
      </c>
      <c r="D126" s="80">
        <f t="shared" ca="1" si="8"/>
        <v>0</v>
      </c>
      <c r="E126" s="80">
        <f t="shared" ca="1" si="9"/>
        <v>0</v>
      </c>
      <c r="F126" s="80">
        <f t="shared" ca="1" si="5"/>
        <v>0</v>
      </c>
      <c r="G126" s="81">
        <f ca="1">IF(ROUND(SUM(B126:C126,-F126),0)=0,0,IF($B$6="Yes",SUM($C$9:C126),SUM(B126:C126,-F126)))</f>
        <v>0</v>
      </c>
    </row>
    <row r="127" spans="1:7" ht="15" customHeight="1" x14ac:dyDescent="0.3">
      <c r="A127" s="78">
        <f ca="1">DATE(YEAR(A126),MONTH(A126)+2,0)</f>
        <v>46022</v>
      </c>
      <c r="B127" s="79">
        <f t="shared" ca="1" si="7"/>
        <v>0</v>
      </c>
      <c r="C127" s="79">
        <f ca="1">IF(ISNA(MATCH($A127,Months,0))=TRUE,0,OFFSET(CashFlow!$B$26,0,MATCH($A127,Months,0),1,1))</f>
        <v>0</v>
      </c>
      <c r="D127" s="80">
        <f t="shared" ca="1" si="8"/>
        <v>0</v>
      </c>
      <c r="E127" s="80">
        <f t="shared" ca="1" si="9"/>
        <v>0</v>
      </c>
      <c r="F127" s="80">
        <f t="shared" ca="1" si="5"/>
        <v>0</v>
      </c>
      <c r="G127" s="81">
        <f ca="1">IF(ROUND(SUM(B127:C127,-F127),0)=0,0,IF($B$6="Yes",SUM($C$9:C127),SUM(B127:C127,-F127)))</f>
        <v>0</v>
      </c>
    </row>
    <row r="128" spans="1:7" ht="15" customHeight="1" x14ac:dyDescent="0.3">
      <c r="A128" s="78">
        <f ca="1">DATE(YEAR(A127),MONTH(A127)+2,0)</f>
        <v>46053</v>
      </c>
      <c r="B128" s="79">
        <f t="shared" ca="1" si="7"/>
        <v>0</v>
      </c>
      <c r="C128" s="79">
        <f ca="1">IF(ISNA(MATCH($A128,Months,0))=TRUE,0,OFFSET(CashFlow!$B$26,0,MATCH($A128,Months,0),1,1))</f>
        <v>0</v>
      </c>
      <c r="D128" s="80">
        <f t="shared" ca="1" si="8"/>
        <v>0</v>
      </c>
      <c r="E128" s="80">
        <f t="shared" ca="1" si="9"/>
        <v>0</v>
      </c>
      <c r="F128" s="80">
        <f t="shared" ca="1" si="5"/>
        <v>0</v>
      </c>
      <c r="G128" s="81">
        <f ca="1">IF(ROUND(SUM(B128:C128,-F128),0)=0,0,IF($B$6="Yes",SUM($C$9:C128),SUM(B128:C128,-F128)))</f>
        <v>0</v>
      </c>
    </row>
    <row r="129" spans="1:7" ht="15" customHeight="1" x14ac:dyDescent="0.3">
      <c r="A129" s="78">
        <f t="shared" ref="A129:A165" ca="1" si="10">DATE(YEAR(A128),MONTH(A128)+2,0)</f>
        <v>46081</v>
      </c>
      <c r="B129" s="79">
        <f t="shared" ref="B129:B165" ca="1" si="11">G128</f>
        <v>0</v>
      </c>
      <c r="C129" s="79">
        <f ca="1">IF(ISNA(MATCH($A129,Months,0))=TRUE,0,OFFSET(CashFlow!$B$26,0,MATCH($A129,Months,0),1,1))</f>
        <v>0</v>
      </c>
      <c r="D129" s="80">
        <f t="shared" ca="1" si="8"/>
        <v>0</v>
      </c>
      <c r="E129" s="80">
        <f t="shared" ca="1" si="9"/>
        <v>0</v>
      </c>
      <c r="F129" s="80">
        <f t="shared" ref="F129:F165" ca="1" si="12">IF($B$6="Yes",0,D129-E129)</f>
        <v>0</v>
      </c>
      <c r="G129" s="81">
        <f ca="1">IF(ROUND(SUM(B129:C129,-F129),0)=0,0,IF($B$6="Yes",SUM($C$9:C129),SUM(B129:C129,-F129)))</f>
        <v>0</v>
      </c>
    </row>
    <row r="130" spans="1:7" ht="15" customHeight="1" x14ac:dyDescent="0.3">
      <c r="A130" s="78">
        <f t="shared" ca="1" si="10"/>
        <v>46112</v>
      </c>
      <c r="B130" s="79">
        <f t="shared" ca="1" si="11"/>
        <v>0</v>
      </c>
      <c r="C130" s="79">
        <f ca="1">IF(ISNA(MATCH($A130,Months,0))=TRUE,0,OFFSET(CashFlow!$B$26,0,MATCH($A130,Months,0),1,1))</f>
        <v>0</v>
      </c>
      <c r="D130" s="80">
        <f t="shared" ca="1" si="8"/>
        <v>0</v>
      </c>
      <c r="E130" s="80">
        <f t="shared" ca="1" si="9"/>
        <v>0</v>
      </c>
      <c r="F130" s="80">
        <f t="shared" ca="1" si="12"/>
        <v>0</v>
      </c>
      <c r="G130" s="81">
        <f ca="1">IF(ROUND(SUM(B130:C130,-F130),0)=0,0,IF($B$6="Yes",SUM($C$9:C130),SUM(B130:C130,-F130)))</f>
        <v>0</v>
      </c>
    </row>
    <row r="131" spans="1:7" ht="15" customHeight="1" x14ac:dyDescent="0.3">
      <c r="A131" s="78">
        <f t="shared" ca="1" si="10"/>
        <v>46142</v>
      </c>
      <c r="B131" s="79">
        <f t="shared" ca="1" si="11"/>
        <v>0</v>
      </c>
      <c r="C131" s="79">
        <f ca="1">IF(ISNA(MATCH($A131,Months,0))=TRUE,0,OFFSET(CashFlow!$B$26,0,MATCH($A131,Months,0),1,1))</f>
        <v>0</v>
      </c>
      <c r="D131" s="80">
        <f t="shared" ca="1" si="8"/>
        <v>0</v>
      </c>
      <c r="E131" s="80">
        <f t="shared" ca="1" si="9"/>
        <v>0</v>
      </c>
      <c r="F131" s="80">
        <f t="shared" ca="1" si="12"/>
        <v>0</v>
      </c>
      <c r="G131" s="81">
        <f ca="1">IF(ROUND(SUM(B131:C131,-F131),0)=0,0,IF($B$6="Yes",SUM($C$9:C131),SUM(B131:C131,-F131)))</f>
        <v>0</v>
      </c>
    </row>
    <row r="132" spans="1:7" ht="15" customHeight="1" x14ac:dyDescent="0.3">
      <c r="A132" s="78">
        <f t="shared" ca="1" si="10"/>
        <v>46173</v>
      </c>
      <c r="B132" s="79">
        <f t="shared" ca="1" si="11"/>
        <v>0</v>
      </c>
      <c r="C132" s="79">
        <f ca="1">IF(ISNA(MATCH($A132,Months,0))=TRUE,0,OFFSET(CashFlow!$B$26,0,MATCH($A132,Months,0),1,1))</f>
        <v>0</v>
      </c>
      <c r="D132" s="80">
        <f t="shared" ca="1" si="8"/>
        <v>0</v>
      </c>
      <c r="E132" s="80">
        <f t="shared" ca="1" si="9"/>
        <v>0</v>
      </c>
      <c r="F132" s="80">
        <f t="shared" ca="1" si="12"/>
        <v>0</v>
      </c>
      <c r="G132" s="81">
        <f ca="1">IF(ROUND(SUM(B132:C132,-F132),0)=0,0,IF($B$6="Yes",SUM($C$9:C132),SUM(B132:C132,-F132)))</f>
        <v>0</v>
      </c>
    </row>
    <row r="133" spans="1:7" ht="15" customHeight="1" x14ac:dyDescent="0.3">
      <c r="A133" s="78">
        <f t="shared" ca="1" si="10"/>
        <v>46203</v>
      </c>
      <c r="B133" s="79">
        <f t="shared" ca="1" si="11"/>
        <v>0</v>
      </c>
      <c r="C133" s="79">
        <f ca="1">IF(ISNA(MATCH($A133,Months,0))=TRUE,0,OFFSET(CashFlow!$B$26,0,MATCH($A133,Months,0),1,1))</f>
        <v>0</v>
      </c>
      <c r="D133" s="80">
        <f t="shared" ca="1" si="8"/>
        <v>0</v>
      </c>
      <c r="E133" s="80">
        <f t="shared" ca="1" si="9"/>
        <v>0</v>
      </c>
      <c r="F133" s="80">
        <f t="shared" ca="1" si="12"/>
        <v>0</v>
      </c>
      <c r="G133" s="81">
        <f ca="1">IF(ROUND(SUM(B133:C133,-F133),0)=0,0,IF($B$6="Yes",SUM($C$9:C133),SUM(B133:C133,-F133)))</f>
        <v>0</v>
      </c>
    </row>
    <row r="134" spans="1:7" ht="15" customHeight="1" x14ac:dyDescent="0.3">
      <c r="A134" s="78">
        <f t="shared" ca="1" si="10"/>
        <v>46234</v>
      </c>
      <c r="B134" s="79">
        <f t="shared" ca="1" si="11"/>
        <v>0</v>
      </c>
      <c r="C134" s="79">
        <f ca="1">IF(ISNA(MATCH($A134,Months,0))=TRUE,0,OFFSET(CashFlow!$B$26,0,MATCH($A134,Months,0),1,1))</f>
        <v>0</v>
      </c>
      <c r="D134" s="80">
        <f t="shared" ca="1" si="8"/>
        <v>0</v>
      </c>
      <c r="E134" s="80">
        <f t="shared" ca="1" si="9"/>
        <v>0</v>
      </c>
      <c r="F134" s="80">
        <f t="shared" ca="1" si="12"/>
        <v>0</v>
      </c>
      <c r="G134" s="81">
        <f ca="1">IF(ROUND(SUM(B134:C134,-F134),0)=0,0,IF($B$6="Yes",SUM($C$9:C134),SUM(B134:C134,-F134)))</f>
        <v>0</v>
      </c>
    </row>
    <row r="135" spans="1:7" ht="15" customHeight="1" x14ac:dyDescent="0.3">
      <c r="A135" s="78">
        <f t="shared" ca="1" si="10"/>
        <v>46265</v>
      </c>
      <c r="B135" s="79">
        <f t="shared" ca="1" si="11"/>
        <v>0</v>
      </c>
      <c r="C135" s="79">
        <f ca="1">IF(ISNA(MATCH($A135,Months,0))=TRUE,0,OFFSET(CashFlow!$B$26,0,MATCH($A135,Months,0),1,1))</f>
        <v>0</v>
      </c>
      <c r="D135" s="80">
        <f t="shared" ca="1" si="8"/>
        <v>0</v>
      </c>
      <c r="E135" s="80">
        <f t="shared" ca="1" si="9"/>
        <v>0</v>
      </c>
      <c r="F135" s="80">
        <f t="shared" ca="1" si="12"/>
        <v>0</v>
      </c>
      <c r="G135" s="81">
        <f ca="1">IF(ROUND(SUM(B135:C135,-F135),0)=0,0,IF($B$6="Yes",SUM($C$9:C135),SUM(B135:C135,-F135)))</f>
        <v>0</v>
      </c>
    </row>
    <row r="136" spans="1:7" ht="15" customHeight="1" x14ac:dyDescent="0.3">
      <c r="A136" s="78">
        <f t="shared" ca="1" si="10"/>
        <v>46295</v>
      </c>
      <c r="B136" s="79">
        <f t="shared" ca="1" si="11"/>
        <v>0</v>
      </c>
      <c r="C136" s="79">
        <f ca="1">IF(ISNA(MATCH($A136,Months,0))=TRUE,0,OFFSET(CashFlow!$B$26,0,MATCH($A136,Months,0),1,1))</f>
        <v>0</v>
      </c>
      <c r="D136" s="80">
        <f t="shared" ca="1" si="8"/>
        <v>0</v>
      </c>
      <c r="E136" s="80">
        <f t="shared" ca="1" si="9"/>
        <v>0</v>
      </c>
      <c r="F136" s="80">
        <f t="shared" ca="1" si="12"/>
        <v>0</v>
      </c>
      <c r="G136" s="81">
        <f ca="1">IF(ROUND(SUM(B136:C136,-F136),0)=0,0,IF($B$6="Yes",SUM($C$9:C136),SUM(B136:C136,-F136)))</f>
        <v>0</v>
      </c>
    </row>
    <row r="137" spans="1:7" ht="15" customHeight="1" x14ac:dyDescent="0.3">
      <c r="A137" s="78">
        <f t="shared" ca="1" si="10"/>
        <v>46326</v>
      </c>
      <c r="B137" s="79">
        <f t="shared" ca="1" si="11"/>
        <v>0</v>
      </c>
      <c r="C137" s="79">
        <f ca="1">IF(ISNA(MATCH($A137,Months,0))=TRUE,0,OFFSET(CashFlow!$B$26,0,MATCH($A137,Months,0),1,1))</f>
        <v>0</v>
      </c>
      <c r="D137" s="80">
        <f t="shared" ca="1" si="8"/>
        <v>0</v>
      </c>
      <c r="E137" s="80">
        <f t="shared" ca="1" si="9"/>
        <v>0</v>
      </c>
      <c r="F137" s="80">
        <f t="shared" ca="1" si="12"/>
        <v>0</v>
      </c>
      <c r="G137" s="81">
        <f ca="1">IF(ROUND(SUM(B137:C137,-F137),0)=0,0,IF($B$6="Yes",SUM($C$9:C137),SUM(B137:C137,-F137)))</f>
        <v>0</v>
      </c>
    </row>
    <row r="138" spans="1:7" ht="15" customHeight="1" x14ac:dyDescent="0.3">
      <c r="A138" s="78">
        <f t="shared" ca="1" si="10"/>
        <v>46356</v>
      </c>
      <c r="B138" s="79">
        <f t="shared" ca="1" si="11"/>
        <v>0</v>
      </c>
      <c r="C138" s="79">
        <f ca="1">IF(ISNA(MATCH($A138,Months,0))=TRUE,0,OFFSET(CashFlow!$B$26,0,MATCH($A138,Months,0),1,1))</f>
        <v>0</v>
      </c>
      <c r="D138" s="80">
        <f t="shared" ca="1" si="8"/>
        <v>0</v>
      </c>
      <c r="E138" s="80">
        <f t="shared" ca="1" si="9"/>
        <v>0</v>
      </c>
      <c r="F138" s="80">
        <f t="shared" ca="1" si="12"/>
        <v>0</v>
      </c>
      <c r="G138" s="81">
        <f ca="1">IF(ROUND(SUM(B138:C138,-F138),0)=0,0,IF($B$6="Yes",SUM($C$9:C138),SUM(B138:C138,-F138)))</f>
        <v>0</v>
      </c>
    </row>
    <row r="139" spans="1:7" ht="15" customHeight="1" x14ac:dyDescent="0.3">
      <c r="A139" s="78">
        <f t="shared" ca="1" si="10"/>
        <v>46387</v>
      </c>
      <c r="B139" s="79">
        <f t="shared" ca="1" si="11"/>
        <v>0</v>
      </c>
      <c r="C139" s="79">
        <f ca="1">IF(ISNA(MATCH($A139,Months,0))=TRUE,0,OFFSET(CashFlow!$B$26,0,MATCH($A139,Months,0),1,1))</f>
        <v>0</v>
      </c>
      <c r="D139" s="80">
        <f t="shared" ref="D139:D165" ca="1" si="13">IF($B$6="Yes",0,IF(ROW(C139)-ROW($C$9)&gt;$B$5*12,-PMT($B$4/12,$B$5*12,SUM(OFFSET(C139,0,0,-$B$5*12,1)),0,0),-PMT($B$4/12,$B$5*12,SUM(OFFSET(C139,0,0,ROW($C$8)-ROW(C139),1)),0,0)))</f>
        <v>0</v>
      </c>
      <c r="E139" s="80">
        <f t="shared" ref="E139:E165" ca="1" si="14">(G138+C139)*$B$4/12</f>
        <v>0</v>
      </c>
      <c r="F139" s="80">
        <f t="shared" ca="1" si="12"/>
        <v>0</v>
      </c>
      <c r="G139" s="81">
        <f ca="1">IF(ROUND(SUM(B139:C139,-F139),0)=0,0,IF($B$6="Yes",SUM($C$9:C139),SUM(B139:C139,-F139)))</f>
        <v>0</v>
      </c>
    </row>
    <row r="140" spans="1:7" ht="15" customHeight="1" x14ac:dyDescent="0.3">
      <c r="A140" s="78">
        <f t="shared" ca="1" si="10"/>
        <v>46418</v>
      </c>
      <c r="B140" s="79">
        <f t="shared" ca="1" si="11"/>
        <v>0</v>
      </c>
      <c r="C140" s="79">
        <f ca="1">IF(ISNA(MATCH($A140,Months,0))=TRUE,0,OFFSET(CashFlow!$B$26,0,MATCH($A140,Months,0),1,1))</f>
        <v>0</v>
      </c>
      <c r="D140" s="80">
        <f t="shared" ca="1" si="13"/>
        <v>0</v>
      </c>
      <c r="E140" s="80">
        <f t="shared" ca="1" si="14"/>
        <v>0</v>
      </c>
      <c r="F140" s="80">
        <f t="shared" ca="1" si="12"/>
        <v>0</v>
      </c>
      <c r="G140" s="81">
        <f ca="1">IF(ROUND(SUM(B140:C140,-F140),0)=0,0,IF($B$6="Yes",SUM($C$9:C140),SUM(B140:C140,-F140)))</f>
        <v>0</v>
      </c>
    </row>
    <row r="141" spans="1:7" ht="15" customHeight="1" x14ac:dyDescent="0.3">
      <c r="A141" s="78">
        <f t="shared" ca="1" si="10"/>
        <v>46446</v>
      </c>
      <c r="B141" s="79">
        <f t="shared" ca="1" si="11"/>
        <v>0</v>
      </c>
      <c r="C141" s="79">
        <f ca="1">IF(ISNA(MATCH($A141,Months,0))=TRUE,0,OFFSET(CashFlow!$B$26,0,MATCH($A141,Months,0),1,1))</f>
        <v>0</v>
      </c>
      <c r="D141" s="80">
        <f t="shared" ca="1" si="13"/>
        <v>0</v>
      </c>
      <c r="E141" s="80">
        <f t="shared" ca="1" si="14"/>
        <v>0</v>
      </c>
      <c r="F141" s="80">
        <f t="shared" ca="1" si="12"/>
        <v>0</v>
      </c>
      <c r="G141" s="81">
        <f ca="1">IF(ROUND(SUM(B141:C141,-F141),0)=0,0,IF($B$6="Yes",SUM($C$9:C141),SUM(B141:C141,-F141)))</f>
        <v>0</v>
      </c>
    </row>
    <row r="142" spans="1:7" ht="15" customHeight="1" x14ac:dyDescent="0.3">
      <c r="A142" s="78">
        <f t="shared" ca="1" si="10"/>
        <v>46477</v>
      </c>
      <c r="B142" s="79">
        <f t="shared" ca="1" si="11"/>
        <v>0</v>
      </c>
      <c r="C142" s="79">
        <f ca="1">IF(ISNA(MATCH($A142,Months,0))=TRUE,0,OFFSET(CashFlow!$B$26,0,MATCH($A142,Months,0),1,1))</f>
        <v>0</v>
      </c>
      <c r="D142" s="80">
        <f t="shared" ca="1" si="13"/>
        <v>0</v>
      </c>
      <c r="E142" s="80">
        <f t="shared" ca="1" si="14"/>
        <v>0</v>
      </c>
      <c r="F142" s="80">
        <f t="shared" ca="1" si="12"/>
        <v>0</v>
      </c>
      <c r="G142" s="81">
        <f ca="1">IF(ROUND(SUM(B142:C142,-F142),0)=0,0,IF($B$6="Yes",SUM($C$9:C142),SUM(B142:C142,-F142)))</f>
        <v>0</v>
      </c>
    </row>
    <row r="143" spans="1:7" ht="15" customHeight="1" x14ac:dyDescent="0.3">
      <c r="A143" s="78">
        <f t="shared" ca="1" si="10"/>
        <v>46507</v>
      </c>
      <c r="B143" s="79">
        <f t="shared" ca="1" si="11"/>
        <v>0</v>
      </c>
      <c r="C143" s="79">
        <f ca="1">IF(ISNA(MATCH($A143,Months,0))=TRUE,0,OFFSET(CashFlow!$B$26,0,MATCH($A143,Months,0),1,1))</f>
        <v>0</v>
      </c>
      <c r="D143" s="80">
        <f t="shared" ca="1" si="13"/>
        <v>0</v>
      </c>
      <c r="E143" s="80">
        <f t="shared" ca="1" si="14"/>
        <v>0</v>
      </c>
      <c r="F143" s="80">
        <f t="shared" ca="1" si="12"/>
        <v>0</v>
      </c>
      <c r="G143" s="81">
        <f ca="1">IF(ROUND(SUM(B143:C143,-F143),0)=0,0,IF($B$6="Yes",SUM($C$9:C143),SUM(B143:C143,-F143)))</f>
        <v>0</v>
      </c>
    </row>
    <row r="144" spans="1:7" ht="15" customHeight="1" x14ac:dyDescent="0.3">
      <c r="A144" s="78">
        <f t="shared" ca="1" si="10"/>
        <v>46538</v>
      </c>
      <c r="B144" s="79">
        <f t="shared" ca="1" si="11"/>
        <v>0</v>
      </c>
      <c r="C144" s="79">
        <f ca="1">IF(ISNA(MATCH($A144,Months,0))=TRUE,0,OFFSET(CashFlow!$B$26,0,MATCH($A144,Months,0),1,1))</f>
        <v>0</v>
      </c>
      <c r="D144" s="80">
        <f t="shared" ca="1" si="13"/>
        <v>0</v>
      </c>
      <c r="E144" s="80">
        <f t="shared" ca="1" si="14"/>
        <v>0</v>
      </c>
      <c r="F144" s="80">
        <f t="shared" ca="1" si="12"/>
        <v>0</v>
      </c>
      <c r="G144" s="81">
        <f ca="1">IF(ROUND(SUM(B144:C144,-F144),0)=0,0,IF($B$6="Yes",SUM($C$9:C144),SUM(B144:C144,-F144)))</f>
        <v>0</v>
      </c>
    </row>
    <row r="145" spans="1:7" ht="15" customHeight="1" x14ac:dyDescent="0.3">
      <c r="A145" s="78">
        <f t="shared" ca="1" si="10"/>
        <v>46568</v>
      </c>
      <c r="B145" s="79">
        <f t="shared" ca="1" si="11"/>
        <v>0</v>
      </c>
      <c r="C145" s="79">
        <f ca="1">IF(ISNA(MATCH($A145,Months,0))=TRUE,0,OFFSET(CashFlow!$B$26,0,MATCH($A145,Months,0),1,1))</f>
        <v>0</v>
      </c>
      <c r="D145" s="80">
        <f t="shared" ca="1" si="13"/>
        <v>0</v>
      </c>
      <c r="E145" s="80">
        <f t="shared" ca="1" si="14"/>
        <v>0</v>
      </c>
      <c r="F145" s="80">
        <f t="shared" ca="1" si="12"/>
        <v>0</v>
      </c>
      <c r="G145" s="81">
        <f ca="1">IF(ROUND(SUM(B145:C145,-F145),0)=0,0,IF($B$6="Yes",SUM($C$9:C145),SUM(B145:C145,-F145)))</f>
        <v>0</v>
      </c>
    </row>
    <row r="146" spans="1:7" ht="15" customHeight="1" x14ac:dyDescent="0.3">
      <c r="A146" s="78">
        <f t="shared" ca="1" si="10"/>
        <v>46599</v>
      </c>
      <c r="B146" s="79">
        <f t="shared" ca="1" si="11"/>
        <v>0</v>
      </c>
      <c r="C146" s="79">
        <f ca="1">IF(ISNA(MATCH($A146,Months,0))=TRUE,0,OFFSET(CashFlow!$B$26,0,MATCH($A146,Months,0),1,1))</f>
        <v>0</v>
      </c>
      <c r="D146" s="80">
        <f t="shared" ca="1" si="13"/>
        <v>0</v>
      </c>
      <c r="E146" s="80">
        <f t="shared" ca="1" si="14"/>
        <v>0</v>
      </c>
      <c r="F146" s="80">
        <f t="shared" ca="1" si="12"/>
        <v>0</v>
      </c>
      <c r="G146" s="81">
        <f ca="1">IF(ROUND(SUM(B146:C146,-F146),0)=0,0,IF($B$6="Yes",SUM($C$9:C146),SUM(B146:C146,-F146)))</f>
        <v>0</v>
      </c>
    </row>
    <row r="147" spans="1:7" ht="15" customHeight="1" x14ac:dyDescent="0.3">
      <c r="A147" s="78">
        <f t="shared" ca="1" si="10"/>
        <v>46630</v>
      </c>
      <c r="B147" s="79">
        <f t="shared" ca="1" si="11"/>
        <v>0</v>
      </c>
      <c r="C147" s="79">
        <f ca="1">IF(ISNA(MATCH($A147,Months,0))=TRUE,0,OFFSET(CashFlow!$B$26,0,MATCH($A147,Months,0),1,1))</f>
        <v>0</v>
      </c>
      <c r="D147" s="80">
        <f t="shared" ca="1" si="13"/>
        <v>0</v>
      </c>
      <c r="E147" s="80">
        <f t="shared" ca="1" si="14"/>
        <v>0</v>
      </c>
      <c r="F147" s="80">
        <f t="shared" ca="1" si="12"/>
        <v>0</v>
      </c>
      <c r="G147" s="81">
        <f ca="1">IF(ROUND(SUM(B147:C147,-F147),0)=0,0,IF($B$6="Yes",SUM($C$9:C147),SUM(B147:C147,-F147)))</f>
        <v>0</v>
      </c>
    </row>
    <row r="148" spans="1:7" ht="15" customHeight="1" x14ac:dyDescent="0.3">
      <c r="A148" s="78">
        <f t="shared" ca="1" si="10"/>
        <v>46660</v>
      </c>
      <c r="B148" s="79">
        <f t="shared" ca="1" si="11"/>
        <v>0</v>
      </c>
      <c r="C148" s="79">
        <f ca="1">IF(ISNA(MATCH($A148,Months,0))=TRUE,0,OFFSET(CashFlow!$B$26,0,MATCH($A148,Months,0),1,1))</f>
        <v>0</v>
      </c>
      <c r="D148" s="80">
        <f t="shared" ca="1" si="13"/>
        <v>0</v>
      </c>
      <c r="E148" s="80">
        <f t="shared" ca="1" si="14"/>
        <v>0</v>
      </c>
      <c r="F148" s="80">
        <f t="shared" ca="1" si="12"/>
        <v>0</v>
      </c>
      <c r="G148" s="81">
        <f ca="1">IF(ROUND(SUM(B148:C148,-F148),0)=0,0,IF($B$6="Yes",SUM($C$9:C148),SUM(B148:C148,-F148)))</f>
        <v>0</v>
      </c>
    </row>
    <row r="149" spans="1:7" ht="15" customHeight="1" x14ac:dyDescent="0.3">
      <c r="A149" s="78">
        <f t="shared" ca="1" si="10"/>
        <v>46691</v>
      </c>
      <c r="B149" s="79">
        <f t="shared" ca="1" si="11"/>
        <v>0</v>
      </c>
      <c r="C149" s="79">
        <f ca="1">IF(ISNA(MATCH($A149,Months,0))=TRUE,0,OFFSET(CashFlow!$B$26,0,MATCH($A149,Months,0),1,1))</f>
        <v>0</v>
      </c>
      <c r="D149" s="80">
        <f t="shared" ca="1" si="13"/>
        <v>0</v>
      </c>
      <c r="E149" s="80">
        <f t="shared" ca="1" si="14"/>
        <v>0</v>
      </c>
      <c r="F149" s="80">
        <f t="shared" ca="1" si="12"/>
        <v>0</v>
      </c>
      <c r="G149" s="81">
        <f ca="1">IF(ROUND(SUM(B149:C149,-F149),0)=0,0,IF($B$6="Yes",SUM($C$9:C149),SUM(B149:C149,-F149)))</f>
        <v>0</v>
      </c>
    </row>
    <row r="150" spans="1:7" ht="15" customHeight="1" x14ac:dyDescent="0.3">
      <c r="A150" s="78">
        <f t="shared" ca="1" si="10"/>
        <v>46721</v>
      </c>
      <c r="B150" s="79">
        <f t="shared" ca="1" si="11"/>
        <v>0</v>
      </c>
      <c r="C150" s="79">
        <f ca="1">IF(ISNA(MATCH($A150,Months,0))=TRUE,0,OFFSET(CashFlow!$B$26,0,MATCH($A150,Months,0),1,1))</f>
        <v>0</v>
      </c>
      <c r="D150" s="80">
        <f t="shared" ca="1" si="13"/>
        <v>0</v>
      </c>
      <c r="E150" s="80">
        <f t="shared" ca="1" si="14"/>
        <v>0</v>
      </c>
      <c r="F150" s="80">
        <f t="shared" ca="1" si="12"/>
        <v>0</v>
      </c>
      <c r="G150" s="81">
        <f ca="1">IF(ROUND(SUM(B150:C150,-F150),0)=0,0,IF($B$6="Yes",SUM($C$9:C150),SUM(B150:C150,-F150)))</f>
        <v>0</v>
      </c>
    </row>
    <row r="151" spans="1:7" ht="15" customHeight="1" x14ac:dyDescent="0.3">
      <c r="A151" s="78">
        <f t="shared" ca="1" si="10"/>
        <v>46752</v>
      </c>
      <c r="B151" s="79">
        <f t="shared" ca="1" si="11"/>
        <v>0</v>
      </c>
      <c r="C151" s="79">
        <f ca="1">IF(ISNA(MATCH($A151,Months,0))=TRUE,0,OFFSET(CashFlow!$B$26,0,MATCH($A151,Months,0),1,1))</f>
        <v>0</v>
      </c>
      <c r="D151" s="80">
        <f t="shared" ca="1" si="13"/>
        <v>0</v>
      </c>
      <c r="E151" s="80">
        <f t="shared" ca="1" si="14"/>
        <v>0</v>
      </c>
      <c r="F151" s="80">
        <f t="shared" ca="1" si="12"/>
        <v>0</v>
      </c>
      <c r="G151" s="81">
        <f ca="1">IF(ROUND(SUM(B151:C151,-F151),0)=0,0,IF($B$6="Yes",SUM($C$9:C151),SUM(B151:C151,-F151)))</f>
        <v>0</v>
      </c>
    </row>
    <row r="152" spans="1:7" ht="15" customHeight="1" x14ac:dyDescent="0.3">
      <c r="A152" s="78">
        <f t="shared" ca="1" si="10"/>
        <v>46783</v>
      </c>
      <c r="B152" s="79">
        <f t="shared" ca="1" si="11"/>
        <v>0</v>
      </c>
      <c r="C152" s="79">
        <f ca="1">IF(ISNA(MATCH($A152,Months,0))=TRUE,0,OFFSET(CashFlow!$B$26,0,MATCH($A152,Months,0),1,1))</f>
        <v>0</v>
      </c>
      <c r="D152" s="80">
        <f t="shared" ca="1" si="13"/>
        <v>0</v>
      </c>
      <c r="E152" s="80">
        <f t="shared" ca="1" si="14"/>
        <v>0</v>
      </c>
      <c r="F152" s="80">
        <f t="shared" ca="1" si="12"/>
        <v>0</v>
      </c>
      <c r="G152" s="81">
        <f ca="1">IF(ROUND(SUM(B152:C152,-F152),0)=0,0,IF($B$6="Yes",SUM($C$9:C152),SUM(B152:C152,-F152)))</f>
        <v>0</v>
      </c>
    </row>
    <row r="153" spans="1:7" ht="15" customHeight="1" x14ac:dyDescent="0.3">
      <c r="A153" s="78">
        <f t="shared" ca="1" si="10"/>
        <v>46812</v>
      </c>
      <c r="B153" s="79">
        <f t="shared" ca="1" si="11"/>
        <v>0</v>
      </c>
      <c r="C153" s="79">
        <f ca="1">IF(ISNA(MATCH($A153,Months,0))=TRUE,0,OFFSET(CashFlow!$B$26,0,MATCH($A153,Months,0),1,1))</f>
        <v>0</v>
      </c>
      <c r="D153" s="80">
        <f t="shared" ca="1" si="13"/>
        <v>0</v>
      </c>
      <c r="E153" s="80">
        <f t="shared" ca="1" si="14"/>
        <v>0</v>
      </c>
      <c r="F153" s="80">
        <f t="shared" ca="1" si="12"/>
        <v>0</v>
      </c>
      <c r="G153" s="81">
        <f ca="1">IF(ROUND(SUM(B153:C153,-F153),0)=0,0,IF($B$6="Yes",SUM($C$9:C153),SUM(B153:C153,-F153)))</f>
        <v>0</v>
      </c>
    </row>
    <row r="154" spans="1:7" ht="15" customHeight="1" x14ac:dyDescent="0.3">
      <c r="A154" s="78">
        <f t="shared" ca="1" si="10"/>
        <v>46843</v>
      </c>
      <c r="B154" s="79">
        <f t="shared" ca="1" si="11"/>
        <v>0</v>
      </c>
      <c r="C154" s="79">
        <f ca="1">IF(ISNA(MATCH($A154,Months,0))=TRUE,0,OFFSET(CashFlow!$B$26,0,MATCH($A154,Months,0),1,1))</f>
        <v>0</v>
      </c>
      <c r="D154" s="80">
        <f t="shared" ca="1" si="13"/>
        <v>0</v>
      </c>
      <c r="E154" s="80">
        <f t="shared" ca="1" si="14"/>
        <v>0</v>
      </c>
      <c r="F154" s="80">
        <f t="shared" ca="1" si="12"/>
        <v>0</v>
      </c>
      <c r="G154" s="81">
        <f ca="1">IF(ROUND(SUM(B154:C154,-F154),0)=0,0,IF($B$6="Yes",SUM($C$9:C154),SUM(B154:C154,-F154)))</f>
        <v>0</v>
      </c>
    </row>
    <row r="155" spans="1:7" ht="15" customHeight="1" x14ac:dyDescent="0.3">
      <c r="A155" s="78">
        <f t="shared" ca="1" si="10"/>
        <v>46873</v>
      </c>
      <c r="B155" s="79">
        <f t="shared" ca="1" si="11"/>
        <v>0</v>
      </c>
      <c r="C155" s="79">
        <f ca="1">IF(ISNA(MATCH($A155,Months,0))=TRUE,0,OFFSET(CashFlow!$B$26,0,MATCH($A155,Months,0),1,1))</f>
        <v>0</v>
      </c>
      <c r="D155" s="80">
        <f t="shared" ca="1" si="13"/>
        <v>0</v>
      </c>
      <c r="E155" s="80">
        <f t="shared" ca="1" si="14"/>
        <v>0</v>
      </c>
      <c r="F155" s="80">
        <f t="shared" ca="1" si="12"/>
        <v>0</v>
      </c>
      <c r="G155" s="81">
        <f ca="1">IF(ROUND(SUM(B155:C155,-F155),0)=0,0,IF($B$6="Yes",SUM($C$9:C155),SUM(B155:C155,-F155)))</f>
        <v>0</v>
      </c>
    </row>
    <row r="156" spans="1:7" ht="15" customHeight="1" x14ac:dyDescent="0.3">
      <c r="A156" s="78">
        <f t="shared" ca="1" si="10"/>
        <v>46904</v>
      </c>
      <c r="B156" s="79">
        <f t="shared" ca="1" si="11"/>
        <v>0</v>
      </c>
      <c r="C156" s="79">
        <f ca="1">IF(ISNA(MATCH($A156,Months,0))=TRUE,0,OFFSET(CashFlow!$B$26,0,MATCH($A156,Months,0),1,1))</f>
        <v>0</v>
      </c>
      <c r="D156" s="80">
        <f t="shared" ca="1" si="13"/>
        <v>0</v>
      </c>
      <c r="E156" s="80">
        <f t="shared" ca="1" si="14"/>
        <v>0</v>
      </c>
      <c r="F156" s="80">
        <f t="shared" ca="1" si="12"/>
        <v>0</v>
      </c>
      <c r="G156" s="81">
        <f ca="1">IF(ROUND(SUM(B156:C156,-F156),0)=0,0,IF($B$6="Yes",SUM($C$9:C156),SUM(B156:C156,-F156)))</f>
        <v>0</v>
      </c>
    </row>
    <row r="157" spans="1:7" ht="15" customHeight="1" x14ac:dyDescent="0.3">
      <c r="A157" s="78">
        <f t="shared" ca="1" si="10"/>
        <v>46934</v>
      </c>
      <c r="B157" s="79">
        <f t="shared" ca="1" si="11"/>
        <v>0</v>
      </c>
      <c r="C157" s="79">
        <f ca="1">IF(ISNA(MATCH($A157,Months,0))=TRUE,0,OFFSET(CashFlow!$B$26,0,MATCH($A157,Months,0),1,1))</f>
        <v>0</v>
      </c>
      <c r="D157" s="80">
        <f t="shared" ca="1" si="13"/>
        <v>0</v>
      </c>
      <c r="E157" s="80">
        <f t="shared" ca="1" si="14"/>
        <v>0</v>
      </c>
      <c r="F157" s="80">
        <f t="shared" ca="1" si="12"/>
        <v>0</v>
      </c>
      <c r="G157" s="81">
        <f ca="1">IF(ROUND(SUM(B157:C157,-F157),0)=0,0,IF($B$6="Yes",SUM($C$9:C157),SUM(B157:C157,-F157)))</f>
        <v>0</v>
      </c>
    </row>
    <row r="158" spans="1:7" ht="15" customHeight="1" x14ac:dyDescent="0.3">
      <c r="A158" s="78">
        <f t="shared" ca="1" si="10"/>
        <v>46965</v>
      </c>
      <c r="B158" s="79">
        <f t="shared" ca="1" si="11"/>
        <v>0</v>
      </c>
      <c r="C158" s="79">
        <f ca="1">IF(ISNA(MATCH($A158,Months,0))=TRUE,0,OFFSET(CashFlow!$B$26,0,MATCH($A158,Months,0),1,1))</f>
        <v>0</v>
      </c>
      <c r="D158" s="80">
        <f t="shared" ca="1" si="13"/>
        <v>0</v>
      </c>
      <c r="E158" s="80">
        <f t="shared" ca="1" si="14"/>
        <v>0</v>
      </c>
      <c r="F158" s="80">
        <f t="shared" ca="1" si="12"/>
        <v>0</v>
      </c>
      <c r="G158" s="81">
        <f ca="1">IF(ROUND(SUM(B158:C158,-F158),0)=0,0,IF($B$6="Yes",SUM($C$9:C158),SUM(B158:C158,-F158)))</f>
        <v>0</v>
      </c>
    </row>
    <row r="159" spans="1:7" ht="15" customHeight="1" x14ac:dyDescent="0.3">
      <c r="A159" s="78">
        <f t="shared" ca="1" si="10"/>
        <v>46996</v>
      </c>
      <c r="B159" s="79">
        <f t="shared" ca="1" si="11"/>
        <v>0</v>
      </c>
      <c r="C159" s="79">
        <f ca="1">IF(ISNA(MATCH($A159,Months,0))=TRUE,0,OFFSET(CashFlow!$B$26,0,MATCH($A159,Months,0),1,1))</f>
        <v>0</v>
      </c>
      <c r="D159" s="80">
        <f t="shared" ca="1" si="13"/>
        <v>0</v>
      </c>
      <c r="E159" s="80">
        <f t="shared" ca="1" si="14"/>
        <v>0</v>
      </c>
      <c r="F159" s="80">
        <f t="shared" ca="1" si="12"/>
        <v>0</v>
      </c>
      <c r="G159" s="81">
        <f ca="1">IF(ROUND(SUM(B159:C159,-F159),0)=0,0,IF($B$6="Yes",SUM($C$9:C159),SUM(B159:C159,-F159)))</f>
        <v>0</v>
      </c>
    </row>
    <row r="160" spans="1:7" ht="15" customHeight="1" x14ac:dyDescent="0.3">
      <c r="A160" s="78">
        <f t="shared" ca="1" si="10"/>
        <v>47026</v>
      </c>
      <c r="B160" s="79">
        <f t="shared" ca="1" si="11"/>
        <v>0</v>
      </c>
      <c r="C160" s="79">
        <f ca="1">IF(ISNA(MATCH($A160,Months,0))=TRUE,0,OFFSET(CashFlow!$B$26,0,MATCH($A160,Months,0),1,1))</f>
        <v>0</v>
      </c>
      <c r="D160" s="80">
        <f t="shared" ca="1" si="13"/>
        <v>0</v>
      </c>
      <c r="E160" s="80">
        <f t="shared" ca="1" si="14"/>
        <v>0</v>
      </c>
      <c r="F160" s="80">
        <f t="shared" ca="1" si="12"/>
        <v>0</v>
      </c>
      <c r="G160" s="81">
        <f ca="1">IF(ROUND(SUM(B160:C160,-F160),0)=0,0,IF($B$6="Yes",SUM($C$9:C160),SUM(B160:C160,-F160)))</f>
        <v>0</v>
      </c>
    </row>
    <row r="161" spans="1:7" ht="15" customHeight="1" x14ac:dyDescent="0.3">
      <c r="A161" s="78">
        <f t="shared" ca="1" si="10"/>
        <v>47057</v>
      </c>
      <c r="B161" s="79">
        <f t="shared" ca="1" si="11"/>
        <v>0</v>
      </c>
      <c r="C161" s="79">
        <f ca="1">IF(ISNA(MATCH($A161,Months,0))=TRUE,0,OFFSET(CashFlow!$B$26,0,MATCH($A161,Months,0),1,1))</f>
        <v>0</v>
      </c>
      <c r="D161" s="80">
        <f t="shared" ca="1" si="13"/>
        <v>0</v>
      </c>
      <c r="E161" s="80">
        <f t="shared" ca="1" si="14"/>
        <v>0</v>
      </c>
      <c r="F161" s="80">
        <f t="shared" ca="1" si="12"/>
        <v>0</v>
      </c>
      <c r="G161" s="81">
        <f ca="1">IF(ROUND(SUM(B161:C161,-F161),0)=0,0,IF($B$6="Yes",SUM($C$9:C161),SUM(B161:C161,-F161)))</f>
        <v>0</v>
      </c>
    </row>
    <row r="162" spans="1:7" ht="15" customHeight="1" x14ac:dyDescent="0.3">
      <c r="A162" s="78">
        <f t="shared" ca="1" si="10"/>
        <v>47087</v>
      </c>
      <c r="B162" s="79">
        <f t="shared" ca="1" si="11"/>
        <v>0</v>
      </c>
      <c r="C162" s="79">
        <f ca="1">IF(ISNA(MATCH($A162,Months,0))=TRUE,0,OFFSET(CashFlow!$B$26,0,MATCH($A162,Months,0),1,1))</f>
        <v>0</v>
      </c>
      <c r="D162" s="80">
        <f t="shared" ca="1" si="13"/>
        <v>0</v>
      </c>
      <c r="E162" s="80">
        <f t="shared" ca="1" si="14"/>
        <v>0</v>
      </c>
      <c r="F162" s="80">
        <f t="shared" ca="1" si="12"/>
        <v>0</v>
      </c>
      <c r="G162" s="81">
        <f ca="1">IF(ROUND(SUM(B162:C162,-F162),0)=0,0,IF($B$6="Yes",SUM($C$9:C162),SUM(B162:C162,-F162)))</f>
        <v>0</v>
      </c>
    </row>
    <row r="163" spans="1:7" ht="15" customHeight="1" x14ac:dyDescent="0.3">
      <c r="A163" s="78">
        <f t="shared" ca="1" si="10"/>
        <v>47118</v>
      </c>
      <c r="B163" s="79">
        <f t="shared" ca="1" si="11"/>
        <v>0</v>
      </c>
      <c r="C163" s="79">
        <f ca="1">IF(ISNA(MATCH($A163,Months,0))=TRUE,0,OFFSET(CashFlow!$B$26,0,MATCH($A163,Months,0),1,1))</f>
        <v>0</v>
      </c>
      <c r="D163" s="80">
        <f t="shared" ca="1" si="13"/>
        <v>0</v>
      </c>
      <c r="E163" s="80">
        <f t="shared" ca="1" si="14"/>
        <v>0</v>
      </c>
      <c r="F163" s="80">
        <f t="shared" ca="1" si="12"/>
        <v>0</v>
      </c>
      <c r="G163" s="81">
        <f ca="1">IF(ROUND(SUM(B163:C163,-F163),0)=0,0,IF($B$6="Yes",SUM($C$9:C163),SUM(B163:C163,-F163)))</f>
        <v>0</v>
      </c>
    </row>
    <row r="164" spans="1:7" ht="15" customHeight="1" x14ac:dyDescent="0.3">
      <c r="A164" s="78">
        <f t="shared" ca="1" si="10"/>
        <v>47149</v>
      </c>
      <c r="B164" s="79">
        <f t="shared" ca="1" si="11"/>
        <v>0</v>
      </c>
      <c r="C164" s="79">
        <f ca="1">IF(ISNA(MATCH($A164,Months,0))=TRUE,0,OFFSET(CashFlow!$B$26,0,MATCH($A164,Months,0),1,1))</f>
        <v>0</v>
      </c>
      <c r="D164" s="80">
        <f t="shared" ca="1" si="13"/>
        <v>0</v>
      </c>
      <c r="E164" s="80">
        <f t="shared" ca="1" si="14"/>
        <v>0</v>
      </c>
      <c r="F164" s="80">
        <f t="shared" ca="1" si="12"/>
        <v>0</v>
      </c>
      <c r="G164" s="81">
        <f ca="1">IF(ROUND(SUM(B164:C164,-F164),0)=0,0,IF($B$6="Yes",SUM($C$9:C164),SUM(B164:C164,-F164)))</f>
        <v>0</v>
      </c>
    </row>
    <row r="165" spans="1:7" ht="15" customHeight="1" x14ac:dyDescent="0.3">
      <c r="A165" s="78">
        <f t="shared" ca="1" si="10"/>
        <v>47177</v>
      </c>
      <c r="B165" s="79">
        <f t="shared" ca="1" si="11"/>
        <v>0</v>
      </c>
      <c r="C165" s="79">
        <f ca="1">IF(ISNA(MATCH($A165,Months,0))=TRUE,0,OFFSET(CashFlow!$B$26,0,MATCH($A165,Months,0),1,1))</f>
        <v>0</v>
      </c>
      <c r="D165" s="80">
        <f t="shared" ca="1" si="13"/>
        <v>0</v>
      </c>
      <c r="E165" s="80">
        <f t="shared" ca="1" si="14"/>
        <v>0</v>
      </c>
      <c r="F165" s="80">
        <f t="shared" ca="1" si="12"/>
        <v>0</v>
      </c>
      <c r="G165" s="81">
        <f ca="1">IF(ROUND(SUM(B165:C165,-F165),0)=0,0,IF($B$6="Yes",SUM($C$9:C165),SUM(B165:C165,-F165)))</f>
        <v>0</v>
      </c>
    </row>
  </sheetData>
  <phoneticPr fontId="3" type="noConversion"/>
  <printOptions horizontalCentered="1"/>
  <pageMargins left="0.55118110236220474" right="0.55118110236220474" top="0.59055118110236227" bottom="0.59055118110236227" header="0.39370078740157483" footer="0.39370078740157483"/>
  <pageSetup paperSize="9" scale="95" fitToHeight="0" orientation="portrait" r:id="rId1"/>
  <headerFooter alignWithMargins="0">
    <oddFooter>&amp;C&amp;9Page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Assumptions</vt:lpstr>
      <vt:lpstr>IncState</vt:lpstr>
      <vt:lpstr>CashFlow</vt:lpstr>
      <vt:lpstr>BalanceSheet</vt:lpstr>
      <vt:lpstr>Loans</vt:lpstr>
      <vt:lpstr>Months</vt:lpstr>
      <vt:lpstr>CashFlow!Print_Area</vt:lpstr>
      <vt:lpstr>IncState!Print_Area</vt:lpstr>
      <vt:lpstr>BalanceSheet!Print_Titles</vt:lpstr>
      <vt:lpstr>CashFlow!Print_Titles</vt:lpstr>
      <vt:lpstr>IncState!Print_Titles</vt:lpstr>
      <vt:lpstr>Loans!Print_Titles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cash flow template, monthly cash flow, excel cash flow, cash flow forecast</cp:keywords>
  <dc:description>BDS Tools to help with managing your business</dc:description>
  <cp:lastModifiedBy>Peter</cp:lastModifiedBy>
  <cp:lastPrinted>2012-01-11T17:29:47Z</cp:lastPrinted>
  <dcterms:created xsi:type="dcterms:W3CDTF">2009-07-26T08:36:26Z</dcterms:created>
  <dcterms:modified xsi:type="dcterms:W3CDTF">2020-04-27T03:44:57Z</dcterms:modified>
  <cp:category>BDS Tools; Version 3.0</cp:category>
  <cp:contentStatus>Published</cp:contentStatus>
  <cp:version>1</cp:version>
</cp:coreProperties>
</file>