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3F1F7934-269A-4BE6-939E-99E0010FF9E7}" xr6:coauthVersionLast="45" xr6:coauthVersionMax="45" xr10:uidLastSave="{00000000-0000-0000-0000-000000000000}"/>
  <bookViews>
    <workbookView xWindow="40920" yWindow="-120" windowWidth="29040" windowHeight="15840" activeTab="8" xr2:uid="{00000000-000D-0000-FFFF-FFFF00000000}"/>
  </bookViews>
  <sheets>
    <sheet name="Set-up" sheetId="6" r:id="rId1"/>
    <sheet name="Classes" sheetId="9" r:id="rId2"/>
    <sheet name="Key" sheetId="12" r:id="rId3"/>
    <sheet name="TBPY" sheetId="17" r:id="rId4"/>
    <sheet name="TBCY" sheetId="7" r:id="rId5"/>
    <sheet name="Forecast" sheetId="16" r:id="rId6"/>
    <sheet name="IS" sheetId="13" r:id="rId7"/>
    <sheet name="CFS" sheetId="14" r:id="rId8"/>
    <sheet name="BS" sheetId="15" r:id="rId9"/>
    <sheet name="ISMonth" sheetId="18" r:id="rId10"/>
    <sheet name="TBCheck" sheetId="19" r:id="rId11"/>
  </sheets>
  <definedNames>
    <definedName name="_xlnm._FilterDatabase" localSheetId="8" hidden="1">BS!$A$4:$F$4</definedName>
    <definedName name="_xlnm._FilterDatabase" localSheetId="7" hidden="1">CFS!$A$4:$F$4</definedName>
    <definedName name="_xlnm._FilterDatabase" localSheetId="5" hidden="1">Forecast!$A$4:$G$58</definedName>
    <definedName name="_xlnm._FilterDatabase" localSheetId="6" hidden="1">IS!$A$4:$F$4</definedName>
    <definedName name="_xlnm._FilterDatabase" localSheetId="9" hidden="1">ISMonth!$A$4:$D$4</definedName>
    <definedName name="_xlnm._FilterDatabase" localSheetId="2" hidden="1">Key!$A$4:$B$46</definedName>
    <definedName name="_xlnm._FilterDatabase" localSheetId="4" hidden="1">TBCY!$A$4:$G$58</definedName>
    <definedName name="_xlnm._FilterDatabase" localSheetId="3" hidden="1">TBPY!$A$4:$H$58</definedName>
    <definedName name="BSCode">OFFSET(BS!$A$4,1,0,ROW(BS!$A$42)-ROW(BS!$A$4),1)</definedName>
    <definedName name="CFSCode">OFFSET(CFS!$A$4,1,0,ROW(CFS!$A$43)-ROW(CFS!$A$4),1)</definedName>
    <definedName name="CheckRowCount">COUNTA(OFFSET(TBCheck!$B$5,1,0,Records,1))</definedName>
    <definedName name="ForAll">OFFSET(Forecast!$A$4,1,0,ForRowCount,COLUMN(Forecast!$O$4))</definedName>
    <definedName name="ForClass">OFFSET(Forecast!$A$4,1,0,ForRowCount,1)</definedName>
    <definedName name="ForMonths">Forecast!$D$4:$O$4</definedName>
    <definedName name="ForRowCount">COUNTA(OFFSET(Forecast!$B$4,1,0,Records,1))</definedName>
    <definedName name="ISCode">OFFSET(IS!$A$4,1,0,ROW(IS!$A$39)-ROW(IS!$A$4),1)</definedName>
    <definedName name="KeyAccount">OFFSET(Key!$A$4,1,0,KeyRowCount,1)</definedName>
    <definedName name="KeyAll">OFFSET(Key!$A$4,1,0,KeyRowCount,COLUMN(Key!$C$4))</definedName>
    <definedName name="KeyRowCount">COUNTA(OFFSET(Key!$A$4,1,0,Records,1))</definedName>
    <definedName name="KeyStatus">OFFSET(Key!$D$4,1,0,KeyRowCount,1)</definedName>
    <definedName name="MonthNames">'Set-up'!$B$18:$B$29</definedName>
    <definedName name="_xlnm.Print_Area" localSheetId="8">BS!$B$1:$M$42</definedName>
    <definedName name="_xlnm.Print_Area" localSheetId="7">CFS!$B$1:$M$43</definedName>
    <definedName name="_xlnm.Print_Area" localSheetId="6">IS!$B$1:$M$39</definedName>
    <definedName name="_xlnm.Print_Area" localSheetId="9">ISMonth!$B$1:$O$39</definedName>
    <definedName name="_xlnm.Print_Titles" localSheetId="8">BS!$1:$4</definedName>
    <definedName name="_xlnm.Print_Titles" localSheetId="7">CFS!$1:$4</definedName>
    <definedName name="_xlnm.Print_Titles" localSheetId="5">Forecast!$1:$4</definedName>
    <definedName name="_xlnm.Print_Titles" localSheetId="6">IS!$1:$4</definedName>
    <definedName name="_xlnm.Print_Titles" localSheetId="9">ISMonth!$1:$4</definedName>
    <definedName name="_xlnm.Print_Titles" localSheetId="2">Key!$1:$4</definedName>
    <definedName name="_xlnm.Print_Titles" localSheetId="10">TBCheck!$1:$5</definedName>
    <definedName name="_xlnm.Print_Titles" localSheetId="4">TBCY!$1:$4</definedName>
    <definedName name="_xlnm.Print_Titles" localSheetId="3">TBPY!$1:$4</definedName>
    <definedName name="PYAll">OFFSET(TBPY!$A$4,1,0,PYRowCount,COLUMN(TBPY!$P$4))</definedName>
    <definedName name="PYClass">OFFSET(TBPY!$A$4,1,0,PYRowCount,1)</definedName>
    <definedName name="PYMonths">TBPY!$E$4:$P$4</definedName>
    <definedName name="PYRowCount">COUNTA(OFFSET(TBPY!$B$4,1,0,Records,1))</definedName>
    <definedName name="Records">1000</definedName>
    <definedName name="TBAll">OFFSET(TBCY!$A$4,1,0,TBRowCount,COLUMN(TBCY!$O$4))</definedName>
    <definedName name="TBClass">OFFSET(TBCY!$A$4,1,0,TBRowCount,1)</definedName>
    <definedName name="TBMonths">TBCY!$D$4:$O$4</definedName>
    <definedName name="TBRowCount">COUNTA(OFFSET(TBCY!$B$4,1,0,Records,1))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" l="1"/>
  <c r="B29" i="6"/>
  <c r="B28" i="6"/>
  <c r="B27" i="6"/>
  <c r="B26" i="6"/>
  <c r="B25" i="6"/>
  <c r="B24" i="6"/>
  <c r="B23" i="6"/>
  <c r="B22" i="6"/>
  <c r="B21" i="6"/>
  <c r="B20" i="6"/>
  <c r="B19" i="6"/>
  <c r="B18" i="6"/>
  <c r="B4" i="19" l="1"/>
  <c r="C4" i="19" s="1"/>
  <c r="C23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B1" i="18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O3" i="16"/>
  <c r="N3" i="16"/>
  <c r="M3" i="16"/>
  <c r="L3" i="16"/>
  <c r="K3" i="16"/>
  <c r="J3" i="16"/>
  <c r="I3" i="16"/>
  <c r="H3" i="16"/>
  <c r="G3" i="16"/>
  <c r="F3" i="16"/>
  <c r="E3" i="16"/>
  <c r="D3" i="16"/>
  <c r="C49" i="17"/>
  <c r="A49" i="17"/>
  <c r="C49" i="16"/>
  <c r="A49" i="16"/>
  <c r="C49" i="7"/>
  <c r="A49" i="7"/>
  <c r="C44" i="16"/>
  <c r="A44" i="16"/>
  <c r="C15" i="17"/>
  <c r="A15" i="17"/>
  <c r="C15" i="16"/>
  <c r="A15" i="16"/>
  <c r="C15" i="7"/>
  <c r="A15" i="7"/>
  <c r="C14" i="16"/>
  <c r="C13" i="16"/>
  <c r="C12" i="16"/>
  <c r="A14" i="16"/>
  <c r="A13" i="16"/>
  <c r="A12" i="16"/>
  <c r="C14" i="17"/>
  <c r="C13" i="17"/>
  <c r="C12" i="17"/>
  <c r="A14" i="17"/>
  <c r="A13" i="17"/>
  <c r="A12" i="17"/>
  <c r="C14" i="7"/>
  <c r="C13" i="7"/>
  <c r="C12" i="7"/>
  <c r="A14" i="7"/>
  <c r="A13" i="7"/>
  <c r="A12" i="7"/>
  <c r="C48" i="16"/>
  <c r="A48" i="16"/>
  <c r="C48" i="17"/>
  <c r="A48" i="17"/>
  <c r="C48" i="7"/>
  <c r="A48" i="7"/>
  <c r="A47" i="16"/>
  <c r="C47" i="16"/>
  <c r="C47" i="17"/>
  <c r="A47" i="17"/>
  <c r="C47" i="7"/>
  <c r="A47" i="7"/>
  <c r="C58" i="17"/>
  <c r="A58" i="17"/>
  <c r="C57" i="17"/>
  <c r="A57" i="17"/>
  <c r="C56" i="17"/>
  <c r="A56" i="17"/>
  <c r="C55" i="17"/>
  <c r="A55" i="17"/>
  <c r="C54" i="17"/>
  <c r="A54" i="17"/>
  <c r="C53" i="17"/>
  <c r="A53" i="17"/>
  <c r="C52" i="17"/>
  <c r="A52" i="17"/>
  <c r="C51" i="17"/>
  <c r="A51" i="17"/>
  <c r="C50" i="17"/>
  <c r="A50" i="17"/>
  <c r="C46" i="17"/>
  <c r="A46" i="17"/>
  <c r="C45" i="17"/>
  <c r="A45" i="17"/>
  <c r="C44" i="17"/>
  <c r="A44" i="17"/>
  <c r="C43" i="17"/>
  <c r="A43" i="17"/>
  <c r="C42" i="17"/>
  <c r="A42" i="17"/>
  <c r="C41" i="17"/>
  <c r="A41" i="17"/>
  <c r="C40" i="17"/>
  <c r="A40" i="17"/>
  <c r="C39" i="17"/>
  <c r="A39" i="17"/>
  <c r="C38" i="17"/>
  <c r="A38" i="17"/>
  <c r="C37" i="17"/>
  <c r="A37" i="17"/>
  <c r="C36" i="17"/>
  <c r="A36" i="17"/>
  <c r="C35" i="17"/>
  <c r="A35" i="17"/>
  <c r="C34" i="17"/>
  <c r="A34" i="17"/>
  <c r="C33" i="17"/>
  <c r="A33" i="17"/>
  <c r="C32" i="17"/>
  <c r="A32" i="17"/>
  <c r="C31" i="17"/>
  <c r="A31" i="17"/>
  <c r="C30" i="17"/>
  <c r="A30" i="17"/>
  <c r="C29" i="17"/>
  <c r="A29" i="17"/>
  <c r="C28" i="17"/>
  <c r="A28" i="17"/>
  <c r="C27" i="17"/>
  <c r="A27" i="17"/>
  <c r="C26" i="17"/>
  <c r="A26" i="17"/>
  <c r="C25" i="17"/>
  <c r="A25" i="17"/>
  <c r="C24" i="17"/>
  <c r="A24" i="17"/>
  <c r="C23" i="17"/>
  <c r="A23" i="17"/>
  <c r="C22" i="17"/>
  <c r="A22" i="17"/>
  <c r="C21" i="17"/>
  <c r="A21" i="17"/>
  <c r="C20" i="17"/>
  <c r="A20" i="17"/>
  <c r="C19" i="17"/>
  <c r="A19" i="17"/>
  <c r="C18" i="17"/>
  <c r="A18" i="17"/>
  <c r="C17" i="17"/>
  <c r="A17" i="17"/>
  <c r="C16" i="17"/>
  <c r="A16" i="17"/>
  <c r="C11" i="17"/>
  <c r="A11" i="17"/>
  <c r="C10" i="17"/>
  <c r="A10" i="17"/>
  <c r="C9" i="17"/>
  <c r="A9" i="17"/>
  <c r="C8" i="17"/>
  <c r="A8" i="17"/>
  <c r="C7" i="17"/>
  <c r="A7" i="17"/>
  <c r="C6" i="17"/>
  <c r="A6" i="17"/>
  <c r="C5" i="17"/>
  <c r="A5" i="17"/>
  <c r="A1" i="17"/>
  <c r="C58" i="16"/>
  <c r="C57" i="16"/>
  <c r="C56" i="16"/>
  <c r="C55" i="16"/>
  <c r="C54" i="16"/>
  <c r="C53" i="16"/>
  <c r="C52" i="16"/>
  <c r="C51" i="16"/>
  <c r="C50" i="16"/>
  <c r="C46" i="16"/>
  <c r="C45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1" i="16"/>
  <c r="C10" i="16"/>
  <c r="C9" i="16"/>
  <c r="C8" i="16"/>
  <c r="C7" i="16"/>
  <c r="C6" i="16"/>
  <c r="C5" i="16"/>
  <c r="A44" i="7"/>
  <c r="C44" i="7"/>
  <c r="C58" i="7"/>
  <c r="C57" i="7"/>
  <c r="C56" i="7"/>
  <c r="C55" i="7"/>
  <c r="C54" i="7"/>
  <c r="C53" i="7"/>
  <c r="C52" i="7"/>
  <c r="C51" i="7"/>
  <c r="C50" i="7"/>
  <c r="C46" i="7"/>
  <c r="C45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1" i="7"/>
  <c r="C10" i="7"/>
  <c r="C9" i="7"/>
  <c r="C8" i="7"/>
  <c r="C7" i="7"/>
  <c r="C6" i="7"/>
  <c r="C5" i="7"/>
  <c r="A58" i="16"/>
  <c r="A57" i="16"/>
  <c r="A56" i="16"/>
  <c r="A55" i="16"/>
  <c r="A54" i="16"/>
  <c r="A53" i="16"/>
  <c r="A52" i="16"/>
  <c r="A51" i="16"/>
  <c r="A50" i="16"/>
  <c r="A46" i="16"/>
  <c r="A45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1" i="16"/>
  <c r="A10" i="16"/>
  <c r="A9" i="16"/>
  <c r="A8" i="16"/>
  <c r="A7" i="16"/>
  <c r="A6" i="16"/>
  <c r="A5" i="16"/>
  <c r="A1" i="16"/>
  <c r="O3" i="7"/>
  <c r="N3" i="7"/>
  <c r="M3" i="7"/>
  <c r="L3" i="7"/>
  <c r="K3" i="7"/>
  <c r="J3" i="7"/>
  <c r="I3" i="7"/>
  <c r="H3" i="7"/>
  <c r="G3" i="7"/>
  <c r="F3" i="7"/>
  <c r="E3" i="7"/>
  <c r="D3" i="7"/>
  <c r="A58" i="7"/>
  <c r="A57" i="7"/>
  <c r="A56" i="7"/>
  <c r="A55" i="7"/>
  <c r="A54" i="7"/>
  <c r="A53" i="7"/>
  <c r="A52" i="7"/>
  <c r="A51" i="7"/>
  <c r="A50" i="7"/>
  <c r="A46" i="7"/>
  <c r="A45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1" i="7"/>
  <c r="A10" i="7"/>
  <c r="A9" i="7"/>
  <c r="A8" i="7"/>
  <c r="A7" i="7"/>
  <c r="A6" i="7"/>
  <c r="A5" i="7"/>
  <c r="B1" i="15"/>
  <c r="B1" i="14"/>
  <c r="B1" i="13"/>
  <c r="A1" i="12"/>
  <c r="A1" i="7"/>
  <c r="B14" i="6"/>
  <c r="B2" i="15" s="1"/>
  <c r="B2" i="14"/>
  <c r="B16" i="6" l="1"/>
  <c r="B2" i="13"/>
  <c r="B15" i="13"/>
  <c r="D4" i="7"/>
  <c r="D4" i="17"/>
  <c r="E4" i="17"/>
  <c r="D4" i="16"/>
  <c r="C4" i="18"/>
  <c r="B31" i="13"/>
  <c r="B14" i="18"/>
  <c r="B17" i="18"/>
  <c r="B23" i="13"/>
  <c r="B30" i="13"/>
  <c r="B26" i="13"/>
  <c r="B22" i="13"/>
  <c r="B18" i="13"/>
  <c r="B14" i="13"/>
  <c r="B30" i="18"/>
  <c r="B26" i="18"/>
  <c r="B22" i="18"/>
  <c r="B18" i="18"/>
  <c r="B11" i="13"/>
  <c r="B28" i="13"/>
  <c r="B24" i="13"/>
  <c r="B20" i="13"/>
  <c r="B16" i="13"/>
  <c r="B12" i="13"/>
  <c r="B28" i="18"/>
  <c r="B24" i="18"/>
  <c r="B20" i="18"/>
  <c r="B27" i="13"/>
  <c r="B19" i="13"/>
  <c r="B31" i="18"/>
  <c r="B23" i="18"/>
  <c r="B16" i="18"/>
  <c r="B12" i="18"/>
  <c r="B29" i="13"/>
  <c r="B17" i="13"/>
  <c r="B29" i="18"/>
  <c r="B19" i="18"/>
  <c r="B13" i="18"/>
  <c r="B21" i="13"/>
  <c r="B21" i="18"/>
  <c r="B11" i="18"/>
  <c r="B25" i="13"/>
  <c r="B13" i="13"/>
  <c r="B27" i="18"/>
  <c r="B15" i="18"/>
  <c r="B25" i="18"/>
  <c r="E4" i="16" l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I16" i="14" s="1"/>
  <c r="F4" i="17"/>
  <c r="C35" i="18"/>
  <c r="C37" i="18"/>
  <c r="O37" i="18" s="1"/>
  <c r="C33" i="18"/>
  <c r="C9" i="18"/>
  <c r="C6" i="18"/>
  <c r="C28" i="18"/>
  <c r="C24" i="18"/>
  <c r="C20" i="18"/>
  <c r="C16" i="18"/>
  <c r="C12" i="18"/>
  <c r="C30" i="18"/>
  <c r="C26" i="18"/>
  <c r="C22" i="18"/>
  <c r="C18" i="18"/>
  <c r="C14" i="18"/>
  <c r="D4" i="18"/>
  <c r="C38" i="18"/>
  <c r="C15" i="18"/>
  <c r="C5" i="18"/>
  <c r="C25" i="18"/>
  <c r="C17" i="18"/>
  <c r="C31" i="18"/>
  <c r="C27" i="18"/>
  <c r="C23" i="18"/>
  <c r="C19" i="18"/>
  <c r="C11" i="18"/>
  <c r="C29" i="18"/>
  <c r="C21" i="18"/>
  <c r="C13" i="18"/>
  <c r="E4" i="7"/>
  <c r="F4" i="7" s="1"/>
  <c r="G4" i="7" s="1"/>
  <c r="H4" i="7" s="1"/>
  <c r="I4" i="7" s="1"/>
  <c r="J4" i="7" s="1"/>
  <c r="K4" i="7" s="1"/>
  <c r="L4" i="7" s="1"/>
  <c r="M4" i="7" s="1"/>
  <c r="N4" i="7" s="1"/>
  <c r="O4" i="7" s="1"/>
  <c r="I14" i="13" l="1"/>
  <c r="I22" i="13"/>
  <c r="I28" i="13"/>
  <c r="I13" i="13"/>
  <c r="C20" i="13"/>
  <c r="C26" i="13"/>
  <c r="I24" i="13"/>
  <c r="C16" i="14"/>
  <c r="I9" i="13"/>
  <c r="C35" i="15"/>
  <c r="I27" i="15"/>
  <c r="I37" i="14" s="1"/>
  <c r="I37" i="13"/>
  <c r="C26" i="15"/>
  <c r="C36" i="14" s="1"/>
  <c r="I37" i="15"/>
  <c r="C14" i="15"/>
  <c r="I6" i="13"/>
  <c r="C37" i="13"/>
  <c r="C9" i="13"/>
  <c r="I23" i="13"/>
  <c r="C18" i="13"/>
  <c r="I22" i="15"/>
  <c r="I35" i="14" s="1"/>
  <c r="I21" i="13"/>
  <c r="I38" i="13"/>
  <c r="C21" i="13"/>
  <c r="I27" i="13"/>
  <c r="I11" i="13"/>
  <c r="I35" i="15"/>
  <c r="C28" i="13"/>
  <c r="I30" i="13"/>
  <c r="C12" i="13"/>
  <c r="I17" i="13"/>
  <c r="C37" i="15"/>
  <c r="C22" i="13"/>
  <c r="I5" i="13"/>
  <c r="I8" i="13" s="1"/>
  <c r="C12" i="15"/>
  <c r="C19" i="14" s="1"/>
  <c r="I12" i="15"/>
  <c r="I19" i="14" s="1"/>
  <c r="C32" i="15"/>
  <c r="C9" i="14"/>
  <c r="C30" i="14" s="1"/>
  <c r="I42" i="14"/>
  <c r="C8" i="15"/>
  <c r="I18" i="13"/>
  <c r="C33" i="15"/>
  <c r="C20" i="14" s="1"/>
  <c r="I12" i="14"/>
  <c r="I26" i="13"/>
  <c r="C27" i="15"/>
  <c r="C37" i="14" s="1"/>
  <c r="I8" i="15"/>
  <c r="I33" i="15"/>
  <c r="I20" i="14" s="1"/>
  <c r="C23" i="13"/>
  <c r="C10" i="14"/>
  <c r="C31" i="14" s="1"/>
  <c r="C30" i="13"/>
  <c r="I31" i="13"/>
  <c r="C13" i="14"/>
  <c r="I25" i="13"/>
  <c r="C15" i="15"/>
  <c r="I16" i="13"/>
  <c r="I13" i="15"/>
  <c r="I18" i="14" s="1"/>
  <c r="C17" i="13"/>
  <c r="C15" i="13"/>
  <c r="I35" i="13"/>
  <c r="I8" i="14" s="1"/>
  <c r="C6" i="13"/>
  <c r="C28" i="15"/>
  <c r="C29" i="15" s="1"/>
  <c r="I19" i="13"/>
  <c r="I32" i="15"/>
  <c r="C34" i="15"/>
  <c r="C14" i="14" s="1"/>
  <c r="I15" i="13"/>
  <c r="C14" i="13"/>
  <c r="I9" i="14"/>
  <c r="I30" i="14" s="1"/>
  <c r="I9" i="15"/>
  <c r="I29" i="14" s="1"/>
  <c r="C7" i="15"/>
  <c r="C22" i="15"/>
  <c r="C35" i="14" s="1"/>
  <c r="D20" i="13"/>
  <c r="J21" i="13"/>
  <c r="D19" i="13"/>
  <c r="J14" i="13"/>
  <c r="D9" i="14"/>
  <c r="D15" i="13"/>
  <c r="D22" i="13"/>
  <c r="J9" i="13"/>
  <c r="J38" i="13"/>
  <c r="J29" i="13"/>
  <c r="J15" i="13"/>
  <c r="J33" i="13"/>
  <c r="J22" i="13"/>
  <c r="J14" i="15"/>
  <c r="D34" i="15"/>
  <c r="J24" i="13"/>
  <c r="D10" i="14"/>
  <c r="D31" i="14" s="1"/>
  <c r="D8" i="15"/>
  <c r="E8" i="15" s="1"/>
  <c r="J9" i="15"/>
  <c r="D29" i="13"/>
  <c r="J35" i="15"/>
  <c r="K35" i="15" s="1"/>
  <c r="L35" i="15" s="1"/>
  <c r="D30" i="13"/>
  <c r="J33" i="15"/>
  <c r="D28" i="15"/>
  <c r="C13" i="15"/>
  <c r="C18" i="14" s="1"/>
  <c r="C12" i="14"/>
  <c r="I14" i="15"/>
  <c r="C24" i="13"/>
  <c r="I26" i="15"/>
  <c r="I36" i="14" s="1"/>
  <c r="C25" i="13"/>
  <c r="I28" i="15"/>
  <c r="C27" i="13"/>
  <c r="J10" i="14"/>
  <c r="D27" i="15"/>
  <c r="D37" i="14" s="1"/>
  <c r="D38" i="13"/>
  <c r="J11" i="13"/>
  <c r="D37" i="13"/>
  <c r="J34" i="15"/>
  <c r="J14" i="14" s="1"/>
  <c r="D13" i="13"/>
  <c r="J8" i="15"/>
  <c r="J23" i="13"/>
  <c r="K23" i="13" s="1"/>
  <c r="L23" i="13" s="1"/>
  <c r="D7" i="15"/>
  <c r="D13" i="15"/>
  <c r="D18" i="14" s="1"/>
  <c r="D12" i="14"/>
  <c r="D21" i="13"/>
  <c r="J22" i="15"/>
  <c r="J35" i="14" s="1"/>
  <c r="J7" i="15"/>
  <c r="J13" i="13"/>
  <c r="D12" i="15"/>
  <c r="D33" i="13"/>
  <c r="D7" i="14" s="1"/>
  <c r="J18" i="13"/>
  <c r="J13" i="14"/>
  <c r="J28" i="14" s="1"/>
  <c r="J30" i="13"/>
  <c r="J12" i="15"/>
  <c r="J19" i="14" s="1"/>
  <c r="J17" i="13"/>
  <c r="J36" i="15"/>
  <c r="J42" i="14"/>
  <c r="J20" i="13"/>
  <c r="D14" i="15"/>
  <c r="D36" i="15"/>
  <c r="J37" i="13"/>
  <c r="D32" i="15"/>
  <c r="D9" i="13"/>
  <c r="D33" i="15"/>
  <c r="E33" i="15" s="1"/>
  <c r="F33" i="15" s="1"/>
  <c r="D12" i="13"/>
  <c r="C5" i="13"/>
  <c r="C8" i="13" s="1"/>
  <c r="I20" i="13"/>
  <c r="I13" i="14"/>
  <c r="C42" i="14"/>
  <c r="C9" i="15"/>
  <c r="I34" i="15"/>
  <c r="I14" i="14" s="1"/>
  <c r="C35" i="13"/>
  <c r="C8" i="14" s="1"/>
  <c r="C11" i="13"/>
  <c r="C31" i="13"/>
  <c r="J31" i="13"/>
  <c r="J16" i="14"/>
  <c r="K16" i="14" s="1"/>
  <c r="L16" i="14" s="1"/>
  <c r="J19" i="13"/>
  <c r="D23" i="13"/>
  <c r="D31" i="13"/>
  <c r="J12" i="13"/>
  <c r="D13" i="14"/>
  <c r="D14" i="13"/>
  <c r="J35" i="13"/>
  <c r="J8" i="14" s="1"/>
  <c r="J28" i="13"/>
  <c r="D15" i="15"/>
  <c r="J15" i="15"/>
  <c r="D28" i="13"/>
  <c r="J7" i="14"/>
  <c r="C7" i="18"/>
  <c r="C28" i="14"/>
  <c r="E22" i="13"/>
  <c r="F22" i="13" s="1"/>
  <c r="D11" i="13"/>
  <c r="J12" i="14"/>
  <c r="D27" i="13"/>
  <c r="J28" i="15"/>
  <c r="J26" i="13"/>
  <c r="J25" i="13"/>
  <c r="D42" i="14"/>
  <c r="D22" i="15"/>
  <c r="J27" i="13"/>
  <c r="J5" i="13"/>
  <c r="D17" i="13"/>
  <c r="J6" i="13"/>
  <c r="J16" i="13"/>
  <c r="J9" i="14"/>
  <c r="D25" i="13"/>
  <c r="D16" i="14"/>
  <c r="J26" i="15"/>
  <c r="D9" i="15"/>
  <c r="J27" i="15"/>
  <c r="D6" i="13"/>
  <c r="D26" i="13"/>
  <c r="D37" i="15"/>
  <c r="J37" i="15"/>
  <c r="K37" i="15" s="1"/>
  <c r="L37" i="15" s="1"/>
  <c r="D16" i="13"/>
  <c r="D35" i="13"/>
  <c r="E4" i="18"/>
  <c r="D38" i="18"/>
  <c r="D35" i="18"/>
  <c r="D33" i="18"/>
  <c r="D9" i="18"/>
  <c r="D28" i="18"/>
  <c r="D24" i="18"/>
  <c r="D20" i="18"/>
  <c r="D16" i="18"/>
  <c r="D12" i="18"/>
  <c r="D27" i="18"/>
  <c r="D19" i="18"/>
  <c r="D11" i="18"/>
  <c r="D31" i="18"/>
  <c r="D23" i="18"/>
  <c r="D15" i="18"/>
  <c r="D26" i="18"/>
  <c r="D18" i="18"/>
  <c r="D6" i="18"/>
  <c r="D5" i="18"/>
  <c r="D8" i="18" s="1"/>
  <c r="D22" i="18"/>
  <c r="D29" i="18"/>
  <c r="D13" i="18"/>
  <c r="D25" i="18"/>
  <c r="D17" i="18"/>
  <c r="D30" i="18"/>
  <c r="D14" i="18"/>
  <c r="D21" i="18"/>
  <c r="I29" i="13"/>
  <c r="I33" i="13"/>
  <c r="I15" i="15"/>
  <c r="C33" i="13"/>
  <c r="I12" i="13"/>
  <c r="I10" i="14"/>
  <c r="C36" i="15"/>
  <c r="C16" i="13"/>
  <c r="I7" i="15"/>
  <c r="C13" i="13"/>
  <c r="C29" i="13"/>
  <c r="I36" i="15"/>
  <c r="C19" i="13"/>
  <c r="C38" i="13"/>
  <c r="C8" i="18"/>
  <c r="D19" i="14"/>
  <c r="J32" i="15"/>
  <c r="D18" i="13"/>
  <c r="D26" i="15"/>
  <c r="J13" i="15"/>
  <c r="D5" i="13"/>
  <c r="D24" i="13"/>
  <c r="D35" i="15"/>
  <c r="C10" i="18"/>
  <c r="G4" i="17"/>
  <c r="E20" i="13" l="1"/>
  <c r="F20" i="13" s="1"/>
  <c r="K14" i="13"/>
  <c r="L14" i="13" s="1"/>
  <c r="K18" i="13"/>
  <c r="L18" i="13" s="1"/>
  <c r="E31" i="13"/>
  <c r="F31" i="13" s="1"/>
  <c r="E32" i="15"/>
  <c r="F32" i="15" s="1"/>
  <c r="E7" i="15"/>
  <c r="F7" i="15" s="1"/>
  <c r="C27" i="14"/>
  <c r="E17" i="13"/>
  <c r="F17" i="13" s="1"/>
  <c r="E27" i="13"/>
  <c r="F27" i="13" s="1"/>
  <c r="I28" i="14"/>
  <c r="K8" i="15"/>
  <c r="I7" i="13"/>
  <c r="E18" i="13"/>
  <c r="F18" i="13" s="1"/>
  <c r="F8" i="15"/>
  <c r="D28" i="14"/>
  <c r="E28" i="14" s="1"/>
  <c r="F28" i="14" s="1"/>
  <c r="K37" i="13"/>
  <c r="L37" i="13" s="1"/>
  <c r="E21" i="13"/>
  <c r="F21" i="13" s="1"/>
  <c r="E30" i="13"/>
  <c r="F30" i="13" s="1"/>
  <c r="L8" i="15"/>
  <c r="K11" i="13"/>
  <c r="L11" i="13" s="1"/>
  <c r="E27" i="15"/>
  <c r="F27" i="15" s="1"/>
  <c r="E26" i="13"/>
  <c r="F26" i="13" s="1"/>
  <c r="K21" i="13"/>
  <c r="L21" i="13" s="1"/>
  <c r="E15" i="15"/>
  <c r="F15" i="15" s="1"/>
  <c r="E12" i="13"/>
  <c r="F12" i="13" s="1"/>
  <c r="K22" i="13"/>
  <c r="L22" i="13" s="1"/>
  <c r="J38" i="14"/>
  <c r="E9" i="14"/>
  <c r="F9" i="14" s="1"/>
  <c r="K17" i="13"/>
  <c r="L17" i="13" s="1"/>
  <c r="K38" i="13"/>
  <c r="L38" i="13" s="1"/>
  <c r="E24" i="13"/>
  <c r="F24" i="13" s="1"/>
  <c r="E9" i="13"/>
  <c r="F9" i="13" s="1"/>
  <c r="I38" i="15"/>
  <c r="K16" i="13"/>
  <c r="L16" i="13" s="1"/>
  <c r="D30" i="14"/>
  <c r="E30" i="14" s="1"/>
  <c r="F30" i="14" s="1"/>
  <c r="K26" i="13"/>
  <c r="L26" i="13" s="1"/>
  <c r="E11" i="13"/>
  <c r="F11" i="13" s="1"/>
  <c r="K13" i="13"/>
  <c r="L13" i="13" s="1"/>
  <c r="E12" i="14"/>
  <c r="F12" i="14" s="1"/>
  <c r="E12" i="15"/>
  <c r="F12" i="15" s="1"/>
  <c r="K24" i="13"/>
  <c r="L24" i="13" s="1"/>
  <c r="K28" i="13"/>
  <c r="L28" i="13" s="1"/>
  <c r="E13" i="14"/>
  <c r="F13" i="14" s="1"/>
  <c r="E6" i="13"/>
  <c r="F6" i="13" s="1"/>
  <c r="E16" i="14"/>
  <c r="F16" i="14" s="1"/>
  <c r="K6" i="13"/>
  <c r="L6" i="13" s="1"/>
  <c r="E28" i="13"/>
  <c r="F28" i="13" s="1"/>
  <c r="E25" i="13"/>
  <c r="F25" i="13" s="1"/>
  <c r="E42" i="14"/>
  <c r="F42" i="14" s="1"/>
  <c r="E23" i="13"/>
  <c r="F23" i="13" s="1"/>
  <c r="C10" i="15"/>
  <c r="K9" i="15"/>
  <c r="L9" i="15" s="1"/>
  <c r="E34" i="15"/>
  <c r="F34" i="15" s="1"/>
  <c r="K35" i="13"/>
  <c r="L35" i="13" s="1"/>
  <c r="I27" i="14"/>
  <c r="K27" i="15"/>
  <c r="L27" i="15" s="1"/>
  <c r="K20" i="13"/>
  <c r="L20" i="13" s="1"/>
  <c r="K30" i="13"/>
  <c r="L30" i="13" s="1"/>
  <c r="C32" i="18"/>
  <c r="C34" i="18" s="1"/>
  <c r="C36" i="18" s="1"/>
  <c r="C39" i="18" s="1"/>
  <c r="D37" i="18" s="1"/>
  <c r="J10" i="15"/>
  <c r="D45" i="14"/>
  <c r="I10" i="13"/>
  <c r="K27" i="13"/>
  <c r="L27" i="13" s="1"/>
  <c r="E14" i="15"/>
  <c r="F14" i="15" s="1"/>
  <c r="K42" i="14"/>
  <c r="L42" i="14" s="1"/>
  <c r="C29" i="14"/>
  <c r="C7" i="13"/>
  <c r="K25" i="13"/>
  <c r="L25" i="13" s="1"/>
  <c r="K15" i="13"/>
  <c r="L15" i="13" s="1"/>
  <c r="E28" i="15"/>
  <c r="F28" i="15" s="1"/>
  <c r="K9" i="13"/>
  <c r="L9" i="13" s="1"/>
  <c r="K7" i="15"/>
  <c r="L7" i="15" s="1"/>
  <c r="K15" i="15"/>
  <c r="L15" i="15" s="1"/>
  <c r="C23" i="14"/>
  <c r="E37" i="13"/>
  <c r="F37" i="13" s="1"/>
  <c r="K31" i="13"/>
  <c r="L31" i="13" s="1"/>
  <c r="E35" i="13"/>
  <c r="F35" i="13" s="1"/>
  <c r="E14" i="13"/>
  <c r="F14" i="13" s="1"/>
  <c r="K19" i="13"/>
  <c r="L19" i="13" s="1"/>
  <c r="K19" i="14"/>
  <c r="L19" i="14" s="1"/>
  <c r="I29" i="15"/>
  <c r="K33" i="15"/>
  <c r="L33" i="15" s="1"/>
  <c r="D10" i="15"/>
  <c r="I23" i="14"/>
  <c r="K12" i="15"/>
  <c r="L12" i="15" s="1"/>
  <c r="D14" i="14"/>
  <c r="J16" i="15"/>
  <c r="D27" i="14"/>
  <c r="J10" i="13"/>
  <c r="I45" i="14"/>
  <c r="K22" i="15"/>
  <c r="L22" i="15" s="1"/>
  <c r="J29" i="14"/>
  <c r="K29" i="14" s="1"/>
  <c r="L29" i="14" s="1"/>
  <c r="D7" i="18"/>
  <c r="J7" i="13"/>
  <c r="C45" i="14"/>
  <c r="K14" i="14"/>
  <c r="L14" i="14" s="1"/>
  <c r="D16" i="15"/>
  <c r="K28" i="15"/>
  <c r="L28" i="15" s="1"/>
  <c r="J20" i="14"/>
  <c r="K20" i="14" s="1"/>
  <c r="L20" i="14" s="1"/>
  <c r="E36" i="15"/>
  <c r="F36" i="15" s="1"/>
  <c r="K36" i="15"/>
  <c r="K10" i="14"/>
  <c r="L10" i="14" s="1"/>
  <c r="E15" i="13"/>
  <c r="F15" i="13" s="1"/>
  <c r="D38" i="14"/>
  <c r="E18" i="14"/>
  <c r="F18" i="14" s="1"/>
  <c r="K8" i="14"/>
  <c r="L8" i="14" s="1"/>
  <c r="E10" i="14"/>
  <c r="F10" i="14" s="1"/>
  <c r="D20" i="14"/>
  <c r="E20" i="14" s="1"/>
  <c r="F20" i="14" s="1"/>
  <c r="J31" i="14"/>
  <c r="K13" i="14"/>
  <c r="L13" i="14" s="1"/>
  <c r="C16" i="15"/>
  <c r="E13" i="15"/>
  <c r="F13" i="15" s="1"/>
  <c r="K34" i="15"/>
  <c r="L34" i="15" s="1"/>
  <c r="K14" i="15"/>
  <c r="L14" i="15" s="1"/>
  <c r="H4" i="17"/>
  <c r="I4" i="17" s="1"/>
  <c r="J4" i="17" s="1"/>
  <c r="K4" i="17" s="1"/>
  <c r="L4" i="17" s="1"/>
  <c r="M4" i="17" s="1"/>
  <c r="N4" i="17" s="1"/>
  <c r="O4" i="17" s="1"/>
  <c r="P4" i="17" s="1"/>
  <c r="M35" i="15" s="1"/>
  <c r="D29" i="15"/>
  <c r="D36" i="14"/>
  <c r="E36" i="14" s="1"/>
  <c r="E26" i="15"/>
  <c r="K35" i="14"/>
  <c r="D35" i="14"/>
  <c r="E22" i="15"/>
  <c r="E31" i="14"/>
  <c r="F31" i="14" s="1"/>
  <c r="E19" i="14"/>
  <c r="F19" i="14" s="1"/>
  <c r="E38" i="13"/>
  <c r="F38" i="13" s="1"/>
  <c r="E13" i="13"/>
  <c r="F13" i="13" s="1"/>
  <c r="I31" i="14"/>
  <c r="I7" i="14"/>
  <c r="K33" i="13"/>
  <c r="L33" i="13" s="1"/>
  <c r="E37" i="15"/>
  <c r="F37" i="15" s="1"/>
  <c r="E9" i="15"/>
  <c r="F9" i="15" s="1"/>
  <c r="D29" i="14"/>
  <c r="J30" i="14"/>
  <c r="K30" i="14" s="1"/>
  <c r="L30" i="14" s="1"/>
  <c r="K9" i="14"/>
  <c r="L9" i="14" s="1"/>
  <c r="D10" i="13"/>
  <c r="D22" i="14"/>
  <c r="E35" i="15"/>
  <c r="F35" i="15" s="1"/>
  <c r="E29" i="13"/>
  <c r="F29" i="13" s="1"/>
  <c r="K12" i="14"/>
  <c r="L12" i="14" s="1"/>
  <c r="J27" i="14"/>
  <c r="I16" i="15"/>
  <c r="C10" i="13"/>
  <c r="D8" i="13"/>
  <c r="E8" i="13" s="1"/>
  <c r="E5" i="13"/>
  <c r="K32" i="15"/>
  <c r="J38" i="15"/>
  <c r="J45" i="14"/>
  <c r="E37" i="14"/>
  <c r="F37" i="14" s="1"/>
  <c r="F36" i="14"/>
  <c r="E19" i="13"/>
  <c r="F19" i="13" s="1"/>
  <c r="I10" i="15"/>
  <c r="K12" i="13"/>
  <c r="L12" i="13" s="1"/>
  <c r="K29" i="13"/>
  <c r="L29" i="13" s="1"/>
  <c r="D10" i="18"/>
  <c r="F4" i="18"/>
  <c r="E35" i="18"/>
  <c r="E38" i="18"/>
  <c r="E29" i="18"/>
  <c r="E25" i="18"/>
  <c r="E21" i="18"/>
  <c r="E17" i="18"/>
  <c r="E13" i="18"/>
  <c r="E6" i="18"/>
  <c r="E28" i="18"/>
  <c r="E20" i="18"/>
  <c r="E12" i="18"/>
  <c r="E5" i="18"/>
  <c r="E9" i="18"/>
  <c r="E24" i="18"/>
  <c r="E16" i="18"/>
  <c r="E27" i="18"/>
  <c r="E19" i="18"/>
  <c r="E11" i="18"/>
  <c r="E26" i="18"/>
  <c r="E31" i="18"/>
  <c r="E15" i="18"/>
  <c r="E22" i="18"/>
  <c r="E33" i="18"/>
  <c r="E18" i="18"/>
  <c r="E23" i="18"/>
  <c r="E30" i="18"/>
  <c r="E14" i="18"/>
  <c r="D8" i="14"/>
  <c r="E8" i="14" s="1"/>
  <c r="F8" i="14" s="1"/>
  <c r="K26" i="15"/>
  <c r="J29" i="15"/>
  <c r="J36" i="14"/>
  <c r="K36" i="14" s="1"/>
  <c r="L36" i="14" s="1"/>
  <c r="K5" i="13"/>
  <c r="J8" i="13"/>
  <c r="K8" i="13" s="1"/>
  <c r="J37" i="14"/>
  <c r="K37" i="14" s="1"/>
  <c r="L37" i="14" s="1"/>
  <c r="K28" i="14"/>
  <c r="L28" i="14" s="1"/>
  <c r="K7" i="14"/>
  <c r="J22" i="14"/>
  <c r="C38" i="14"/>
  <c r="K13" i="15"/>
  <c r="L13" i="15" s="1"/>
  <c r="J18" i="14"/>
  <c r="K18" i="14" s="1"/>
  <c r="L18" i="14" s="1"/>
  <c r="D38" i="15"/>
  <c r="E14" i="14"/>
  <c r="F14" i="14" s="1"/>
  <c r="L36" i="15"/>
  <c r="E16" i="13"/>
  <c r="F16" i="13" s="1"/>
  <c r="C7" i="14"/>
  <c r="E7" i="14" s="1"/>
  <c r="E33" i="13"/>
  <c r="F33" i="13" s="1"/>
  <c r="I38" i="14"/>
  <c r="I39" i="14" s="1"/>
  <c r="D7" i="13"/>
  <c r="J23" i="14"/>
  <c r="C38" i="15"/>
  <c r="C32" i="14" l="1"/>
  <c r="E27" i="14"/>
  <c r="F27" i="14" s="1"/>
  <c r="I32" i="13"/>
  <c r="I34" i="13" s="1"/>
  <c r="K10" i="13"/>
  <c r="L10" i="13" s="1"/>
  <c r="G12" i="15"/>
  <c r="K10" i="15"/>
  <c r="C18" i="15"/>
  <c r="E38" i="14"/>
  <c r="E16" i="15"/>
  <c r="F16" i="15" s="1"/>
  <c r="J40" i="15"/>
  <c r="I40" i="15"/>
  <c r="M26" i="13"/>
  <c r="J18" i="15"/>
  <c r="I32" i="14"/>
  <c r="E29" i="14"/>
  <c r="F29" i="14" s="1"/>
  <c r="M34" i="15"/>
  <c r="M14" i="14" s="1"/>
  <c r="C39" i="14"/>
  <c r="D32" i="18"/>
  <c r="D34" i="18" s="1"/>
  <c r="D36" i="18" s="1"/>
  <c r="D39" i="18" s="1"/>
  <c r="E37" i="18" s="1"/>
  <c r="J32" i="13"/>
  <c r="K31" i="14"/>
  <c r="L31" i="14" s="1"/>
  <c r="D18" i="15"/>
  <c r="K23" i="14"/>
  <c r="L23" i="14" s="1"/>
  <c r="G9" i="13"/>
  <c r="G28" i="15"/>
  <c r="G21" i="13"/>
  <c r="M22" i="15"/>
  <c r="M35" i="14" s="1"/>
  <c r="G6" i="13"/>
  <c r="M31" i="13"/>
  <c r="M6" i="13"/>
  <c r="M16" i="14"/>
  <c r="G32" i="15"/>
  <c r="M37" i="15"/>
  <c r="M28" i="13"/>
  <c r="G36" i="15"/>
  <c r="M22" i="13"/>
  <c r="M12" i="14"/>
  <c r="M32" i="15"/>
  <c r="E38" i="15"/>
  <c r="F38" i="15" s="1"/>
  <c r="M15" i="13"/>
  <c r="M13" i="15"/>
  <c r="M18" i="14" s="1"/>
  <c r="G13" i="13"/>
  <c r="G25" i="13"/>
  <c r="G9" i="15"/>
  <c r="G29" i="14" s="1"/>
  <c r="M24" i="13"/>
  <c r="M9" i="14"/>
  <c r="M30" i="14" s="1"/>
  <c r="G18" i="13"/>
  <c r="G14" i="15"/>
  <c r="G33" i="15"/>
  <c r="G20" i="14" s="1"/>
  <c r="G29" i="13"/>
  <c r="G7" i="15"/>
  <c r="M38" i="13"/>
  <c r="G27" i="13"/>
  <c r="G10" i="14"/>
  <c r="G31" i="14" s="1"/>
  <c r="G30" i="13"/>
  <c r="M29" i="13"/>
  <c r="M11" i="13"/>
  <c r="M28" i="15"/>
  <c r="G8" i="15"/>
  <c r="M7" i="15"/>
  <c r="G35" i="13"/>
  <c r="G8" i="14" s="1"/>
  <c r="M27" i="15"/>
  <c r="M37" i="14" s="1"/>
  <c r="M42" i="14"/>
  <c r="G22" i="13"/>
  <c r="G15" i="15"/>
  <c r="G16" i="13"/>
  <c r="G5" i="13"/>
  <c r="G8" i="13" s="1"/>
  <c r="G38" i="13"/>
  <c r="M27" i="13"/>
  <c r="G15" i="13"/>
  <c r="M36" i="15"/>
  <c r="M9" i="13"/>
  <c r="G37" i="15"/>
  <c r="G24" i="13"/>
  <c r="M23" i="13"/>
  <c r="E10" i="15"/>
  <c r="M9" i="15"/>
  <c r="M29" i="14" s="1"/>
  <c r="M19" i="13"/>
  <c r="G42" i="14"/>
  <c r="M30" i="13"/>
  <c r="M12" i="15"/>
  <c r="M19" i="14" s="1"/>
  <c r="G34" i="15"/>
  <c r="G14" i="14" s="1"/>
  <c r="M12" i="13"/>
  <c r="G28" i="13"/>
  <c r="G26" i="15"/>
  <c r="G36" i="14" s="1"/>
  <c r="M25" i="13"/>
  <c r="G27" i="15"/>
  <c r="G37" i="14" s="1"/>
  <c r="M18" i="13"/>
  <c r="M13" i="13"/>
  <c r="G13" i="15"/>
  <c r="G18" i="14" s="1"/>
  <c r="M17" i="13"/>
  <c r="M5" i="13"/>
  <c r="M8" i="13" s="1"/>
  <c r="G23" i="13"/>
  <c r="G26" i="13"/>
  <c r="M15" i="15"/>
  <c r="G14" i="13"/>
  <c r="M33" i="15"/>
  <c r="M20" i="14" s="1"/>
  <c r="M26" i="15"/>
  <c r="M36" i="14" s="1"/>
  <c r="M14" i="13"/>
  <c r="F22" i="15"/>
  <c r="F38" i="14"/>
  <c r="E8" i="18"/>
  <c r="E7" i="18"/>
  <c r="F35" i="18"/>
  <c r="F38" i="18"/>
  <c r="F30" i="18"/>
  <c r="F26" i="18"/>
  <c r="F22" i="18"/>
  <c r="F18" i="18"/>
  <c r="F14" i="18"/>
  <c r="G4" i="18"/>
  <c r="F29" i="18"/>
  <c r="F25" i="18"/>
  <c r="F21" i="18"/>
  <c r="F17" i="18"/>
  <c r="F13" i="18"/>
  <c r="F33" i="18"/>
  <c r="F28" i="18"/>
  <c r="F20" i="18"/>
  <c r="F12" i="18"/>
  <c r="F19" i="18"/>
  <c r="F9" i="18"/>
  <c r="F15" i="18"/>
  <c r="F5" i="18"/>
  <c r="F8" i="18" s="1"/>
  <c r="F27" i="18"/>
  <c r="F11" i="18"/>
  <c r="F24" i="18"/>
  <c r="F16" i="18"/>
  <c r="F6" i="18"/>
  <c r="F31" i="18"/>
  <c r="F23" i="18"/>
  <c r="E10" i="13"/>
  <c r="F10" i="13" s="1"/>
  <c r="C32" i="13"/>
  <c r="J32" i="14"/>
  <c r="K27" i="14"/>
  <c r="D32" i="13"/>
  <c r="L35" i="14"/>
  <c r="D40" i="15"/>
  <c r="G22" i="15"/>
  <c r="M21" i="13"/>
  <c r="M8" i="15"/>
  <c r="M13" i="14"/>
  <c r="G12" i="13"/>
  <c r="M16" i="13"/>
  <c r="G31" i="13"/>
  <c r="G16" i="14"/>
  <c r="G11" i="13"/>
  <c r="G9" i="14"/>
  <c r="G30" i="14" s="1"/>
  <c r="G20" i="13"/>
  <c r="M33" i="13"/>
  <c r="M37" i="13"/>
  <c r="G19" i="13"/>
  <c r="G19" i="14"/>
  <c r="F7" i="14"/>
  <c r="C22" i="14"/>
  <c r="C40" i="15"/>
  <c r="K29" i="15"/>
  <c r="L26" i="15"/>
  <c r="E10" i="18"/>
  <c r="K38" i="15"/>
  <c r="L38" i="15" s="1"/>
  <c r="L32" i="15"/>
  <c r="D23" i="14"/>
  <c r="E23" i="14" s="1"/>
  <c r="F23" i="14" s="1"/>
  <c r="D32" i="14"/>
  <c r="E35" i="14"/>
  <c r="D39" i="14"/>
  <c r="J39" i="14"/>
  <c r="G33" i="13"/>
  <c r="M35" i="13"/>
  <c r="G12" i="14"/>
  <c r="M10" i="14"/>
  <c r="M31" i="14" s="1"/>
  <c r="G35" i="15"/>
  <c r="M14" i="15"/>
  <c r="G13" i="14"/>
  <c r="G17" i="13"/>
  <c r="M20" i="13"/>
  <c r="G37" i="13"/>
  <c r="K7" i="13"/>
  <c r="L7" i="13" s="1"/>
  <c r="L5" i="13"/>
  <c r="L10" i="15"/>
  <c r="I18" i="15"/>
  <c r="K16" i="15"/>
  <c r="K18" i="15" s="1"/>
  <c r="E7" i="13"/>
  <c r="F7" i="13" s="1"/>
  <c r="F5" i="13"/>
  <c r="L7" i="14"/>
  <c r="I22" i="14"/>
  <c r="K38" i="14"/>
  <c r="K39" i="14" s="1"/>
  <c r="L39" i="14" s="1"/>
  <c r="E29" i="15"/>
  <c r="F26" i="15"/>
  <c r="E39" i="14" l="1"/>
  <c r="F39" i="14" s="1"/>
  <c r="E18" i="15"/>
  <c r="F18" i="15" s="1"/>
  <c r="G28" i="14"/>
  <c r="G27" i="14"/>
  <c r="E32" i="14"/>
  <c r="F32" i="14" s="1"/>
  <c r="M38" i="14"/>
  <c r="M39" i="14" s="1"/>
  <c r="G10" i="15"/>
  <c r="G45" i="14"/>
  <c r="E32" i="18"/>
  <c r="E34" i="18" s="1"/>
  <c r="E36" i="18" s="1"/>
  <c r="E39" i="18" s="1"/>
  <c r="F37" i="18" s="1"/>
  <c r="M28" i="14"/>
  <c r="M38" i="15"/>
  <c r="M7" i="13"/>
  <c r="M27" i="14"/>
  <c r="F10" i="15"/>
  <c r="M10" i="15"/>
  <c r="M16" i="15"/>
  <c r="G16" i="15"/>
  <c r="G23" i="14"/>
  <c r="M29" i="15"/>
  <c r="M40" i="15" s="1"/>
  <c r="G38" i="14"/>
  <c r="K32" i="13"/>
  <c r="J34" i="13"/>
  <c r="J36" i="13" s="1"/>
  <c r="L18" i="15"/>
  <c r="M45" i="14"/>
  <c r="G38" i="15"/>
  <c r="L38" i="14"/>
  <c r="G29" i="15"/>
  <c r="M10" i="13"/>
  <c r="M32" i="13" s="1"/>
  <c r="M34" i="13" s="1"/>
  <c r="M36" i="13" s="1"/>
  <c r="G7" i="13"/>
  <c r="G7" i="14"/>
  <c r="G22" i="14" s="1"/>
  <c r="E32" i="13"/>
  <c r="E34" i="13" s="1"/>
  <c r="E36" i="13" s="1"/>
  <c r="E39" i="13" s="1"/>
  <c r="D34" i="13"/>
  <c r="D36" i="13" s="1"/>
  <c r="C34" i="13"/>
  <c r="K22" i="14"/>
  <c r="L22" i="14" s="1"/>
  <c r="I36" i="13"/>
  <c r="G10" i="13"/>
  <c r="K40" i="15"/>
  <c r="L40" i="15" s="1"/>
  <c r="L29" i="15"/>
  <c r="F7" i="18"/>
  <c r="G35" i="14"/>
  <c r="K32" i="14"/>
  <c r="L32" i="14" s="1"/>
  <c r="L27" i="14"/>
  <c r="E40" i="15"/>
  <c r="F40" i="15" s="1"/>
  <c r="F29" i="15"/>
  <c r="M7" i="14"/>
  <c r="M22" i="14" s="1"/>
  <c r="L16" i="15"/>
  <c r="M8" i="14"/>
  <c r="M23" i="14" s="1"/>
  <c r="E22" i="14"/>
  <c r="F22" i="14" s="1"/>
  <c r="F10" i="18"/>
  <c r="H4" i="18"/>
  <c r="G29" i="18"/>
  <c r="G25" i="18"/>
  <c r="G35" i="18"/>
  <c r="G28" i="18"/>
  <c r="G23" i="18"/>
  <c r="G19" i="18"/>
  <c r="G15" i="18"/>
  <c r="G11" i="18"/>
  <c r="G6" i="18"/>
  <c r="G9" i="18"/>
  <c r="G22" i="18"/>
  <c r="G14" i="18"/>
  <c r="G33" i="18"/>
  <c r="G27" i="18"/>
  <c r="G18" i="18"/>
  <c r="G5" i="18"/>
  <c r="G31" i="18"/>
  <c r="G21" i="18"/>
  <c r="G13" i="18"/>
  <c r="G20" i="18"/>
  <c r="G12" i="18"/>
  <c r="G38" i="18"/>
  <c r="G30" i="18"/>
  <c r="G26" i="18"/>
  <c r="G17" i="18"/>
  <c r="G24" i="18"/>
  <c r="G16" i="18"/>
  <c r="G18" i="15" l="1"/>
  <c r="G32" i="14"/>
  <c r="M32" i="14"/>
  <c r="M18" i="15"/>
  <c r="G32" i="13"/>
  <c r="G34" i="13" s="1"/>
  <c r="G36" i="13" s="1"/>
  <c r="G39" i="13" s="1"/>
  <c r="G23" i="15" s="1"/>
  <c r="G24" i="15" s="1"/>
  <c r="J39" i="13"/>
  <c r="J23" i="15" s="1"/>
  <c r="J24" i="15" s="1"/>
  <c r="J42" i="15" s="1"/>
  <c r="J6" i="14"/>
  <c r="J21" i="14" s="1"/>
  <c r="J24" i="14" s="1"/>
  <c r="J41" i="14" s="1"/>
  <c r="J43" i="14" s="1"/>
  <c r="G39" i="14"/>
  <c r="K34" i="13"/>
  <c r="L32" i="13"/>
  <c r="G40" i="15"/>
  <c r="F32" i="18"/>
  <c r="F34" i="18" s="1"/>
  <c r="F36" i="18" s="1"/>
  <c r="F39" i="18" s="1"/>
  <c r="G37" i="18" s="1"/>
  <c r="D6" i="14"/>
  <c r="D39" i="13"/>
  <c r="D23" i="15" s="1"/>
  <c r="G10" i="18"/>
  <c r="I6" i="14"/>
  <c r="I39" i="13"/>
  <c r="F34" i="13"/>
  <c r="C36" i="13"/>
  <c r="G8" i="18"/>
  <c r="G7" i="18"/>
  <c r="I4" i="18"/>
  <c r="H38" i="18"/>
  <c r="H35" i="18"/>
  <c r="H30" i="18"/>
  <c r="H26" i="18"/>
  <c r="H22" i="18"/>
  <c r="H18" i="18"/>
  <c r="H14" i="18"/>
  <c r="H33" i="18"/>
  <c r="H9" i="18"/>
  <c r="H27" i="18"/>
  <c r="H21" i="18"/>
  <c r="H16" i="18"/>
  <c r="H11" i="18"/>
  <c r="H31" i="18"/>
  <c r="H20" i="18"/>
  <c r="H25" i="18"/>
  <c r="H15" i="18"/>
  <c r="H29" i="18"/>
  <c r="H19" i="18"/>
  <c r="H6" i="18"/>
  <c r="H17" i="18"/>
  <c r="H28" i="18"/>
  <c r="H5" i="18"/>
  <c r="H8" i="18" s="1"/>
  <c r="H24" i="18"/>
  <c r="H13" i="18"/>
  <c r="H23" i="18"/>
  <c r="H12" i="18"/>
  <c r="M6" i="14"/>
  <c r="M21" i="14" s="1"/>
  <c r="M24" i="14" s="1"/>
  <c r="M39" i="13"/>
  <c r="M23" i="15" s="1"/>
  <c r="M24" i="15" s="1"/>
  <c r="M42" i="15" s="1"/>
  <c r="F32" i="13"/>
  <c r="G6" i="14" l="1"/>
  <c r="G21" i="14" s="1"/>
  <c r="G24" i="14" s="1"/>
  <c r="G41" i="14" s="1"/>
  <c r="G43" i="14" s="1"/>
  <c r="M41" i="14"/>
  <c r="M43" i="14" s="1"/>
  <c r="K36" i="13"/>
  <c r="L34" i="13"/>
  <c r="G42" i="15"/>
  <c r="H7" i="18"/>
  <c r="J4" i="18"/>
  <c r="I31" i="18"/>
  <c r="I27" i="18"/>
  <c r="I23" i="18"/>
  <c r="I19" i="18"/>
  <c r="I15" i="18"/>
  <c r="I11" i="18"/>
  <c r="I35" i="18"/>
  <c r="I30" i="18"/>
  <c r="I25" i="18"/>
  <c r="I20" i="18"/>
  <c r="I14" i="18"/>
  <c r="I6" i="18"/>
  <c r="I18" i="18"/>
  <c r="I5" i="18"/>
  <c r="I8" i="18" s="1"/>
  <c r="I29" i="18"/>
  <c r="I24" i="18"/>
  <c r="I13" i="18"/>
  <c r="I28" i="18"/>
  <c r="I17" i="18"/>
  <c r="I16" i="18"/>
  <c r="I9" i="18"/>
  <c r="I26" i="18"/>
  <c r="I38" i="18"/>
  <c r="I22" i="18"/>
  <c r="I12" i="18"/>
  <c r="I33" i="18"/>
  <c r="I21" i="18"/>
  <c r="D21" i="14"/>
  <c r="D24" i="14" s="1"/>
  <c r="D41" i="14" s="1"/>
  <c r="I23" i="15"/>
  <c r="G32" i="18"/>
  <c r="G34" i="18" s="1"/>
  <c r="G36" i="18" s="1"/>
  <c r="G39" i="18" s="1"/>
  <c r="H37" i="18" s="1"/>
  <c r="H10" i="18"/>
  <c r="H32" i="18" s="1"/>
  <c r="H34" i="18" s="1"/>
  <c r="H36" i="18" s="1"/>
  <c r="F36" i="13"/>
  <c r="C6" i="14"/>
  <c r="C39" i="13"/>
  <c r="I21" i="14"/>
  <c r="K6" i="14"/>
  <c r="K21" i="14" s="1"/>
  <c r="K24" i="14" s="1"/>
  <c r="D24" i="15"/>
  <c r="D42" i="15" s="1"/>
  <c r="H39" i="18" l="1"/>
  <c r="I37" i="18" s="1"/>
  <c r="I7" i="18"/>
  <c r="L6" i="14"/>
  <c r="K39" i="13"/>
  <c r="L39" i="13" s="1"/>
  <c r="L36" i="13"/>
  <c r="C21" i="14"/>
  <c r="I24" i="15"/>
  <c r="K23" i="15"/>
  <c r="K24" i="15" s="1"/>
  <c r="K42" i="15" s="1"/>
  <c r="D43" i="14"/>
  <c r="I10" i="18"/>
  <c r="I32" i="18" s="1"/>
  <c r="I34" i="18" s="1"/>
  <c r="I36" i="18" s="1"/>
  <c r="L21" i="14"/>
  <c r="I24" i="14"/>
  <c r="E6" i="14"/>
  <c r="E21" i="14" s="1"/>
  <c r="E24" i="14" s="1"/>
  <c r="J35" i="18"/>
  <c r="J9" i="18"/>
  <c r="J28" i="18"/>
  <c r="J24" i="18"/>
  <c r="J20" i="18"/>
  <c r="J16" i="18"/>
  <c r="J12" i="18"/>
  <c r="J38" i="18"/>
  <c r="J29" i="18"/>
  <c r="J23" i="18"/>
  <c r="J18" i="18"/>
  <c r="J13" i="18"/>
  <c r="J27" i="18"/>
  <c r="J22" i="18"/>
  <c r="J17" i="18"/>
  <c r="J11" i="18"/>
  <c r="J26" i="18"/>
  <c r="J15" i="18"/>
  <c r="J14" i="18"/>
  <c r="J33" i="18"/>
  <c r="J31" i="18"/>
  <c r="J6" i="18"/>
  <c r="K4" i="18"/>
  <c r="J30" i="18"/>
  <c r="J19" i="18"/>
  <c r="J25" i="18"/>
  <c r="J21" i="18"/>
  <c r="J5" i="18"/>
  <c r="F39" i="13"/>
  <c r="C23" i="15"/>
  <c r="I39" i="18" l="1"/>
  <c r="J37" i="18" s="1"/>
  <c r="F6" i="14"/>
  <c r="K29" i="18"/>
  <c r="K25" i="18"/>
  <c r="K21" i="18"/>
  <c r="K17" i="18"/>
  <c r="K13" i="18"/>
  <c r="L4" i="18"/>
  <c r="K35" i="18"/>
  <c r="K9" i="18"/>
  <c r="K27" i="18"/>
  <c r="K22" i="18"/>
  <c r="K16" i="18"/>
  <c r="K11" i="18"/>
  <c r="K6" i="18"/>
  <c r="K33" i="18"/>
  <c r="K31" i="18"/>
  <c r="K20" i="18"/>
  <c r="K38" i="18"/>
  <c r="K26" i="18"/>
  <c r="K15" i="18"/>
  <c r="K5" i="18"/>
  <c r="K8" i="18" s="1"/>
  <c r="K24" i="18"/>
  <c r="K14" i="18"/>
  <c r="K12" i="18"/>
  <c r="K30" i="18"/>
  <c r="K28" i="18"/>
  <c r="K18" i="18"/>
  <c r="K23" i="18"/>
  <c r="K19" i="18"/>
  <c r="L24" i="15"/>
  <c r="I42" i="15"/>
  <c r="L42" i="15" s="1"/>
  <c r="J10" i="18"/>
  <c r="J8" i="18"/>
  <c r="L24" i="14"/>
  <c r="I41" i="14"/>
  <c r="L23" i="15"/>
  <c r="C24" i="15"/>
  <c r="E23" i="15"/>
  <c r="E24" i="15" s="1"/>
  <c r="E42" i="15" s="1"/>
  <c r="J7" i="18"/>
  <c r="C24" i="14"/>
  <c r="F21" i="14"/>
  <c r="J32" i="18" l="1"/>
  <c r="J34" i="18" s="1"/>
  <c r="J36" i="18" s="1"/>
  <c r="J39" i="18" s="1"/>
  <c r="K37" i="18" s="1"/>
  <c r="K10" i="18"/>
  <c r="F24" i="14"/>
  <c r="C41" i="14"/>
  <c r="C42" i="15"/>
  <c r="F42" i="15" s="1"/>
  <c r="F24" i="15"/>
  <c r="I43" i="14"/>
  <c r="K41" i="14"/>
  <c r="K43" i="14" s="1"/>
  <c r="F23" i="15"/>
  <c r="L38" i="18"/>
  <c r="L35" i="18"/>
  <c r="L30" i="18"/>
  <c r="L26" i="18"/>
  <c r="L22" i="18"/>
  <c r="L18" i="18"/>
  <c r="L14" i="18"/>
  <c r="L9" i="18"/>
  <c r="L28" i="18"/>
  <c r="L24" i="18"/>
  <c r="L20" i="18"/>
  <c r="L16" i="18"/>
  <c r="M4" i="18"/>
  <c r="L33" i="18"/>
  <c r="L31" i="18"/>
  <c r="L23" i="18"/>
  <c r="L15" i="18"/>
  <c r="L21" i="18"/>
  <c r="L29" i="18"/>
  <c r="L13" i="18"/>
  <c r="L27" i="18"/>
  <c r="L12" i="18"/>
  <c r="L6" i="18"/>
  <c r="L11" i="18"/>
  <c r="L5" i="18"/>
  <c r="L8" i="18" s="1"/>
  <c r="L17" i="18"/>
  <c r="L25" i="18"/>
  <c r="L19" i="18"/>
  <c r="K7" i="18"/>
  <c r="L7" i="18" l="1"/>
  <c r="L10" i="18"/>
  <c r="L41" i="14"/>
  <c r="C43" i="14"/>
  <c r="E41" i="14"/>
  <c r="E43" i="14" s="1"/>
  <c r="L43" i="14"/>
  <c r="N4" i="18"/>
  <c r="M31" i="18"/>
  <c r="M27" i="18"/>
  <c r="M23" i="18"/>
  <c r="M19" i="18"/>
  <c r="M15" i="18"/>
  <c r="M11" i="18"/>
  <c r="M38" i="18"/>
  <c r="M29" i="18"/>
  <c r="M25" i="18"/>
  <c r="M21" i="18"/>
  <c r="M17" i="18"/>
  <c r="M13" i="18"/>
  <c r="M9" i="18"/>
  <c r="M24" i="18"/>
  <c r="M16" i="18"/>
  <c r="M6" i="18"/>
  <c r="M33" i="18"/>
  <c r="M30" i="18"/>
  <c r="M14" i="18"/>
  <c r="M5" i="18"/>
  <c r="M8" i="18" s="1"/>
  <c r="M35" i="18"/>
  <c r="M22" i="18"/>
  <c r="M20" i="18"/>
  <c r="M18" i="18"/>
  <c r="M12" i="18"/>
  <c r="M26" i="18"/>
  <c r="M28" i="18"/>
  <c r="K32" i="18"/>
  <c r="K34" i="18" s="1"/>
  <c r="K36" i="18" s="1"/>
  <c r="K39" i="18" s="1"/>
  <c r="L37" i="18" s="1"/>
  <c r="L32" i="18" l="1"/>
  <c r="L34" i="18" s="1"/>
  <c r="L36" i="18" s="1"/>
  <c r="L39" i="18" s="1"/>
  <c r="M37" i="18" s="1"/>
  <c r="F41" i="14"/>
  <c r="F43" i="14"/>
  <c r="M10" i="18"/>
  <c r="M7" i="18"/>
  <c r="N9" i="18"/>
  <c r="O9" i="18" s="1"/>
  <c r="N28" i="18"/>
  <c r="O28" i="18" s="1"/>
  <c r="N24" i="18"/>
  <c r="O24" i="18" s="1"/>
  <c r="N20" i="18"/>
  <c r="O20" i="18" s="1"/>
  <c r="N16" i="18"/>
  <c r="O16" i="18" s="1"/>
  <c r="N12" i="18"/>
  <c r="O12" i="18" s="1"/>
  <c r="N35" i="18"/>
  <c r="N30" i="18"/>
  <c r="O30" i="18" s="1"/>
  <c r="N26" i="18"/>
  <c r="O26" i="18" s="1"/>
  <c r="N22" i="18"/>
  <c r="O22" i="18" s="1"/>
  <c r="N18" i="18"/>
  <c r="O18" i="18" s="1"/>
  <c r="N14" i="18"/>
  <c r="O14" i="18" s="1"/>
  <c r="N38" i="18"/>
  <c r="N25" i="18"/>
  <c r="O25" i="18" s="1"/>
  <c r="N17" i="18"/>
  <c r="O17" i="18" s="1"/>
  <c r="N23" i="18"/>
  <c r="O23" i="18" s="1"/>
  <c r="N31" i="18"/>
  <c r="O31" i="18" s="1"/>
  <c r="N15" i="18"/>
  <c r="O15" i="18" s="1"/>
  <c r="N29" i="18"/>
  <c r="O29" i="18" s="1"/>
  <c r="N13" i="18"/>
  <c r="O13" i="18" s="1"/>
  <c r="N33" i="18"/>
  <c r="N27" i="18"/>
  <c r="O27" i="18" s="1"/>
  <c r="N21" i="18"/>
  <c r="O21" i="18" s="1"/>
  <c r="N5" i="18"/>
  <c r="N11" i="18"/>
  <c r="N6" i="18"/>
  <c r="N19" i="18"/>
  <c r="O19" i="18" s="1"/>
  <c r="M32" i="18" l="1"/>
  <c r="M34" i="18" s="1"/>
  <c r="M36" i="18" s="1"/>
  <c r="M39" i="18" s="1"/>
  <c r="N37" i="18" s="1"/>
  <c r="O35" i="18"/>
  <c r="N10" i="18"/>
  <c r="O11" i="18"/>
  <c r="O10" i="18" s="1"/>
  <c r="O33" i="18"/>
  <c r="N7" i="18"/>
  <c r="O6" i="18"/>
  <c r="N8" i="18"/>
  <c r="O5" i="18"/>
  <c r="O8" i="18" s="1"/>
  <c r="O38" i="18"/>
  <c r="N32" i="18" l="1"/>
  <c r="N34" i="18" s="1"/>
  <c r="N36" i="18" s="1"/>
  <c r="N39" i="18" s="1"/>
  <c r="O7" i="18"/>
  <c r="O32" i="18" s="1"/>
  <c r="O34" i="18" s="1"/>
  <c r="O36" i="18" s="1"/>
  <c r="O39" i="18" s="1"/>
</calcChain>
</file>

<file path=xl/sharedStrings.xml><?xml version="1.0" encoding="utf-8"?>
<sst xmlns="http://schemas.openxmlformats.org/spreadsheetml/2006/main" count="708" uniqueCount="285">
  <si>
    <t>Set-up</t>
  </si>
  <si>
    <t>Business Name</t>
  </si>
  <si>
    <t>Reporting Year</t>
  </si>
  <si>
    <t>Year End Period</t>
  </si>
  <si>
    <t>Revenue</t>
  </si>
  <si>
    <t>Other Income</t>
  </si>
  <si>
    <t>Distribution costs</t>
  </si>
  <si>
    <t>Administrative expenses</t>
  </si>
  <si>
    <t>Other expenses</t>
  </si>
  <si>
    <t>Finance costs</t>
  </si>
  <si>
    <t>Income tax expense</t>
  </si>
  <si>
    <t>Retained earnings at start of year</t>
  </si>
  <si>
    <t>Dividends</t>
  </si>
  <si>
    <t>Class</t>
  </si>
  <si>
    <t>Account Description</t>
  </si>
  <si>
    <t>ASSETS</t>
  </si>
  <si>
    <t>Investments</t>
  </si>
  <si>
    <t>Property, plant &amp; equipment</t>
  </si>
  <si>
    <t>Intangible assets</t>
  </si>
  <si>
    <t>Inventories</t>
  </si>
  <si>
    <t>Trade and other receivables</t>
  </si>
  <si>
    <t>EQUITY &amp; LIABILITIES</t>
  </si>
  <si>
    <t>Equity</t>
  </si>
  <si>
    <t>Share Capital</t>
  </si>
  <si>
    <t>Retained Earnings</t>
  </si>
  <si>
    <t>Non-current liabilities</t>
  </si>
  <si>
    <t>Share capital</t>
  </si>
  <si>
    <t>Retained earnings</t>
  </si>
  <si>
    <t>Deferred tax liability</t>
  </si>
  <si>
    <t>Non-current assets</t>
  </si>
  <si>
    <t>Current assets</t>
  </si>
  <si>
    <t>Total assets</t>
  </si>
  <si>
    <t>Current liabilities</t>
  </si>
  <si>
    <t>Bank overdraft</t>
  </si>
  <si>
    <t>Trade payables</t>
  </si>
  <si>
    <t>Interest payable</t>
  </si>
  <si>
    <t>Current tax liability</t>
  </si>
  <si>
    <t>Total liabilities</t>
  </si>
  <si>
    <t>Total equity &amp; liabilities</t>
  </si>
  <si>
    <t>Cash flows from operating activities</t>
  </si>
  <si>
    <t>Cash flow included in investing activities:</t>
  </si>
  <si>
    <t>Net cash from operating activities</t>
  </si>
  <si>
    <t>Cash flows from investing activities</t>
  </si>
  <si>
    <t>Cash generated from operations</t>
  </si>
  <si>
    <t>Interest paid</t>
  </si>
  <si>
    <t>Income tax paid</t>
  </si>
  <si>
    <t>Purchases of property, plant &amp; equipment</t>
  </si>
  <si>
    <t>Purchases of investments</t>
  </si>
  <si>
    <t>Purchases of intangible assets</t>
  </si>
  <si>
    <t>Interest received</t>
  </si>
  <si>
    <t>Net cash used in investing activities</t>
  </si>
  <si>
    <t>Cash flows from financing activities</t>
  </si>
  <si>
    <t>Proceeds from issuance of shares</t>
  </si>
  <si>
    <t>Dividends paid</t>
  </si>
  <si>
    <t>Net cash used in financing activities</t>
  </si>
  <si>
    <t>Sale of goods</t>
  </si>
  <si>
    <t>Dividends received</t>
  </si>
  <si>
    <t>Trade debtors</t>
  </si>
  <si>
    <t>Cash on hand</t>
  </si>
  <si>
    <t>IS-100</t>
  </si>
  <si>
    <t>IS-200</t>
  </si>
  <si>
    <t>Acc No</t>
  </si>
  <si>
    <t>Advertising &amp; marketing costs</t>
  </si>
  <si>
    <t>IS-305</t>
  </si>
  <si>
    <t>IS-310</t>
  </si>
  <si>
    <t>IS-315</t>
  </si>
  <si>
    <t>IS-700</t>
  </si>
  <si>
    <t>IS-600</t>
  </si>
  <si>
    <t>IS-650</t>
  </si>
  <si>
    <t>Advertising &amp; Marketing</t>
  </si>
  <si>
    <t>Other Expenses</t>
  </si>
  <si>
    <t>Interest Paid</t>
  </si>
  <si>
    <t>Dividends Paid</t>
  </si>
  <si>
    <t>Other revenue</t>
  </si>
  <si>
    <t>Description</t>
  </si>
  <si>
    <t>BS-500</t>
  </si>
  <si>
    <t>Trade Debtors</t>
  </si>
  <si>
    <t>BS-600</t>
  </si>
  <si>
    <t>BS-100</t>
  </si>
  <si>
    <t>BS-150</t>
  </si>
  <si>
    <t>BS-200</t>
  </si>
  <si>
    <t>BS-900</t>
  </si>
  <si>
    <t>BS-800</t>
  </si>
  <si>
    <t>Long Term Liabilities</t>
  </si>
  <si>
    <t>Long term loans</t>
  </si>
  <si>
    <t>Finance leases</t>
  </si>
  <si>
    <t>Provisions</t>
  </si>
  <si>
    <t>BS-700</t>
  </si>
  <si>
    <t>Trade Creditors</t>
  </si>
  <si>
    <t>BS-300</t>
  </si>
  <si>
    <t>Petty Cash</t>
  </si>
  <si>
    <t>Cash at bank</t>
  </si>
  <si>
    <t>Repayment of finance leases</t>
  </si>
  <si>
    <t>ABC Trading (Pty) Limited</t>
  </si>
  <si>
    <t>Dividends payable</t>
  </si>
  <si>
    <t>I-REVS</t>
  </si>
  <si>
    <t>I-REVO</t>
  </si>
  <si>
    <t>I-COS</t>
  </si>
  <si>
    <t>I-DIS</t>
  </si>
  <si>
    <t>I-ADV</t>
  </si>
  <si>
    <t>I-ADM</t>
  </si>
  <si>
    <t>I-OTX</t>
  </si>
  <si>
    <t>I-FIN</t>
  </si>
  <si>
    <t>I-TAX</t>
  </si>
  <si>
    <t>I-DIV</t>
  </si>
  <si>
    <t>B-DEBT</t>
  </si>
  <si>
    <t>B-VEST</t>
  </si>
  <si>
    <t>B-DTAX</t>
  </si>
  <si>
    <t>B-LOAN</t>
  </si>
  <si>
    <t>B-FLEASE</t>
  </si>
  <si>
    <t>B-CREDT</t>
  </si>
  <si>
    <t>B-INT</t>
  </si>
  <si>
    <t>B-TAX</t>
  </si>
  <si>
    <t>B-DIV</t>
  </si>
  <si>
    <t>B-CASH</t>
  </si>
  <si>
    <t>B-BANK</t>
  </si>
  <si>
    <t>B-PROV</t>
  </si>
  <si>
    <t>B-SCAP</t>
  </si>
  <si>
    <t>B-RET</t>
  </si>
  <si>
    <t>Gross profit</t>
  </si>
  <si>
    <t>Cost of sales</t>
  </si>
  <si>
    <t>Deferred tax</t>
  </si>
  <si>
    <t>Profit / (Loss) before tax</t>
  </si>
  <si>
    <t>Income Statement</t>
  </si>
  <si>
    <t>Balance Sheet - Assets</t>
  </si>
  <si>
    <t>Balance Sheet - Equity</t>
  </si>
  <si>
    <t>Balance Sheet - Liabilities</t>
  </si>
  <si>
    <t>Property, Plant &amp; Equipment</t>
  </si>
  <si>
    <t>© www.excel-skills.com</t>
  </si>
  <si>
    <t>Management Accounts Template</t>
  </si>
  <si>
    <t>Year End Date</t>
  </si>
  <si>
    <t>Monthly Forecast</t>
  </si>
  <si>
    <t>Report Key</t>
  </si>
  <si>
    <t>Actual</t>
  </si>
  <si>
    <t>Forecast</t>
  </si>
  <si>
    <t>Diff</t>
  </si>
  <si>
    <t>Diff%</t>
  </si>
  <si>
    <t>Gross profit %</t>
  </si>
  <si>
    <t>Expenses</t>
  </si>
  <si>
    <t>- Finance costs</t>
  </si>
  <si>
    <t>- Income taxes</t>
  </si>
  <si>
    <t>- Dividends received</t>
  </si>
  <si>
    <t>- Depreciation</t>
  </si>
  <si>
    <t>- Amortisation</t>
  </si>
  <si>
    <t>- Increase / (Decrease) in provisions</t>
  </si>
  <si>
    <t>- (Gains) / Losses on sale of equipment</t>
  </si>
  <si>
    <t>- Decrease / (Increase) in inventories</t>
  </si>
  <si>
    <t>Current Reporting Period</t>
  </si>
  <si>
    <t>BS-399</t>
  </si>
  <si>
    <t>BS-400</t>
  </si>
  <si>
    <t>IS-320</t>
  </si>
  <si>
    <t>IS-325</t>
  </si>
  <si>
    <t>IS-330</t>
  </si>
  <si>
    <t>IS-335</t>
  </si>
  <si>
    <t>IS-340</t>
  </si>
  <si>
    <t>IS-345</t>
  </si>
  <si>
    <t>IS-350</t>
  </si>
  <si>
    <t>IS-355</t>
  </si>
  <si>
    <t>IS-360</t>
  </si>
  <si>
    <t>IS-365</t>
  </si>
  <si>
    <t>IS-370</t>
  </si>
  <si>
    <t>IS-375</t>
  </si>
  <si>
    <t>IS-380</t>
  </si>
  <si>
    <t>IS-385</t>
  </si>
  <si>
    <t>IS-390</t>
  </si>
  <si>
    <t>IS-395</t>
  </si>
  <si>
    <t>IS-400</t>
  </si>
  <si>
    <t>IS-500</t>
  </si>
  <si>
    <t>IS-800</t>
  </si>
  <si>
    <t>Accumulated Depreciation</t>
  </si>
  <si>
    <t>Cash - Other</t>
  </si>
  <si>
    <t>Cash Transfer Control</t>
  </si>
  <si>
    <t>Debtors - Other</t>
  </si>
  <si>
    <t>Creditors - Other</t>
  </si>
  <si>
    <t>Sales Tax Control</t>
  </si>
  <si>
    <t>Reserves</t>
  </si>
  <si>
    <t>Turnover</t>
  </si>
  <si>
    <t>Stock Purchases</t>
  </si>
  <si>
    <t>Accounting Fees</t>
  </si>
  <si>
    <t>Bank Charges</t>
  </si>
  <si>
    <t>Commission</t>
  </si>
  <si>
    <t>Computer Expenses</t>
  </si>
  <si>
    <t>Consumables &amp; Cleaning</t>
  </si>
  <si>
    <t>Entertainment</t>
  </si>
  <si>
    <t>Insurance</t>
  </si>
  <si>
    <t>Office Expenses</t>
  </si>
  <si>
    <t>Office Rent</t>
  </si>
  <si>
    <t>Postage</t>
  </si>
  <si>
    <t>Professional &amp; Legal Fees</t>
  </si>
  <si>
    <t>Salaries &amp; Wages</t>
  </si>
  <si>
    <t>Stationery</t>
  </si>
  <si>
    <t>Subscriptions &amp; Memberships</t>
  </si>
  <si>
    <t>Telephone &amp; Internet</t>
  </si>
  <si>
    <t>Training</t>
  </si>
  <si>
    <t>Travelling &amp; Accommodation</t>
  </si>
  <si>
    <t>Utilities</t>
  </si>
  <si>
    <t>Depreciation</t>
  </si>
  <si>
    <t>Taxation</t>
  </si>
  <si>
    <t>BS-BANKB1</t>
  </si>
  <si>
    <t>B1 Bank Account</t>
  </si>
  <si>
    <t>BS-BANKB2</t>
  </si>
  <si>
    <t>B2 Bank Account</t>
  </si>
  <si>
    <t>BS-BANKB3</t>
  </si>
  <si>
    <t>B3 Bank Account</t>
  </si>
  <si>
    <t>BS-PCASHPC</t>
  </si>
  <si>
    <t>BS-DEBTORS</t>
  </si>
  <si>
    <t>BS-CREDITORS</t>
  </si>
  <si>
    <t>BS-INVENTORY</t>
  </si>
  <si>
    <t>Inventory</t>
  </si>
  <si>
    <t>IS-INV MOVEMENT</t>
  </si>
  <si>
    <t>Inventory Movement</t>
  </si>
  <si>
    <t>BS-RETAINED</t>
  </si>
  <si>
    <t>I-ADM01</t>
  </si>
  <si>
    <t>I-ADM02</t>
  </si>
  <si>
    <t>I-ADM03</t>
  </si>
  <si>
    <t>I-ADM04</t>
  </si>
  <si>
    <t>I-ADM05</t>
  </si>
  <si>
    <t>I-ADM06</t>
  </si>
  <si>
    <t>I-ADV01</t>
  </si>
  <si>
    <t>I-ADM07</t>
  </si>
  <si>
    <t>I-ADM08</t>
  </si>
  <si>
    <t>I-ADM09</t>
  </si>
  <si>
    <t>I-ADM10</t>
  </si>
  <si>
    <t>I-ADM11</t>
  </si>
  <si>
    <t>I-ADM12</t>
  </si>
  <si>
    <t>I-ADM13</t>
  </si>
  <si>
    <t>I-ADM14</t>
  </si>
  <si>
    <t>I-ADM15</t>
  </si>
  <si>
    <t>I-ADM16</t>
  </si>
  <si>
    <t>I-ADM17</t>
  </si>
  <si>
    <t>I-ADM18</t>
  </si>
  <si>
    <t>I-ADM19</t>
  </si>
  <si>
    <t>I-OTX01</t>
  </si>
  <si>
    <t>Profit / (Loss) before finance costs</t>
  </si>
  <si>
    <t>Year-to-Date</t>
  </si>
  <si>
    <t>B-PPE</t>
  </si>
  <si>
    <t>B-IPA</t>
  </si>
  <si>
    <t>B-INV</t>
  </si>
  <si>
    <t>Bank</t>
  </si>
  <si>
    <t>Other cash accounts</t>
  </si>
  <si>
    <t>Current Month</t>
  </si>
  <si>
    <t>Retained earnings at start of period</t>
  </si>
  <si>
    <t>Retained earnings at end of period</t>
  </si>
  <si>
    <t>Profit / (Loss) for the period</t>
  </si>
  <si>
    <t>Non-cash income and expenses:</t>
  </si>
  <si>
    <t>- Decrease / (Increase) in receivables</t>
  </si>
  <si>
    <t>- Increase / (Decrease) in payables</t>
  </si>
  <si>
    <t>Cash equivalents at beginning of period</t>
  </si>
  <si>
    <t>Cash equivalents at end of period</t>
  </si>
  <si>
    <t>Prior Year</t>
  </si>
  <si>
    <t>Monthly Trial Balance - Current Year</t>
  </si>
  <si>
    <t>Monthly Trial Balance - Prior Year</t>
  </si>
  <si>
    <t>Prior Year Reporting Period</t>
  </si>
  <si>
    <t>I-ADM99</t>
  </si>
  <si>
    <t>Changes in working capital:</t>
  </si>
  <si>
    <t>Net increase / (decrease) in cash</t>
  </si>
  <si>
    <t>IS-810</t>
  </si>
  <si>
    <t>Dividends Received</t>
  </si>
  <si>
    <t>I-REVO02</t>
  </si>
  <si>
    <t>- Interest Received</t>
  </si>
  <si>
    <t>IS-820</t>
  </si>
  <si>
    <t>Interest Received</t>
  </si>
  <si>
    <t>I-REVO03</t>
  </si>
  <si>
    <t>BS-510</t>
  </si>
  <si>
    <t>BS-520</t>
  </si>
  <si>
    <t>BS-530</t>
  </si>
  <si>
    <t>Interest Payable</t>
  </si>
  <si>
    <t>Dividends Payable</t>
  </si>
  <si>
    <t>Provision for Taxation</t>
  </si>
  <si>
    <t>BS-550</t>
  </si>
  <si>
    <t>Proceeds / (Repayment) of loans</t>
  </si>
  <si>
    <t>BS CASH</t>
  </si>
  <si>
    <t>IS-830</t>
  </si>
  <si>
    <t>Profit on Disposal of Asset</t>
  </si>
  <si>
    <t>I-REVO04</t>
  </si>
  <si>
    <t>Monthly Income Statement</t>
  </si>
  <si>
    <t>Default Reporting Classes</t>
  </si>
  <si>
    <t>Total</t>
  </si>
  <si>
    <t>Reporting Period End Date</t>
  </si>
  <si>
    <t>Status</t>
  </si>
  <si>
    <t>Amount</t>
  </si>
  <si>
    <t>Check</t>
  </si>
  <si>
    <t>Trial Balance Sequence Check</t>
  </si>
  <si>
    <t>Current</t>
  </si>
  <si>
    <t>Select TB: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</si>
</sst>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dd\ mmmm\ yyyy"/>
    <numFmt numFmtId="166" formatCode="_ * #,##0_ ;_ * \-#,##0_ ;_ * &quot;-&quot;??_ ;_ @_ "/>
    <numFmt numFmtId="167" formatCode="0.0%"/>
    <numFmt numFmtId="168" formatCode="mmm\-yyyy"/>
    <numFmt numFmtId="169" formatCode="_ * #,##0_ ;_ * \(#,##0\)_ ;_ * &quot;-&quot;_ ;_ @_ "/>
    <numFmt numFmtId="170" formatCode="_ * #,##0.0%_ ;_ * \(#,##0.0%\)_ ;_ * &quot;-&quot;_ ;_ @_ "/>
    <numFmt numFmtId="171" formatCode="mmmm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"/>
      <name val="Arial"/>
      <family val="2"/>
    </font>
    <font>
      <b/>
      <sz val="9.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0"/>
      <name val="Arial"/>
      <family val="2"/>
    </font>
    <font>
      <sz val="9"/>
      <color rgb="FF008000"/>
      <name val="Arial"/>
      <family val="2"/>
    </font>
    <font>
      <sz val="9.5"/>
      <color rgb="FF008000"/>
      <name val="Arial"/>
      <family val="2"/>
    </font>
    <font>
      <i/>
      <sz val="9"/>
      <color rgb="FF008000"/>
      <name val="Arial"/>
      <family val="2"/>
    </font>
    <font>
      <b/>
      <sz val="9"/>
      <color rgb="FF008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81C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2" borderId="12" applyNumberFormat="0" applyAlignment="0" applyProtection="0"/>
    <xf numFmtId="0" fontId="9" fillId="3" borderId="13" applyNumberFormat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14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164" fontId="4" fillId="0" borderId="0" xfId="1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164" fontId="4" fillId="0" borderId="0" xfId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5" fillId="0" borderId="0" xfId="0" applyNumberFormat="1" applyFont="1" applyAlignment="1" applyProtection="1">
      <alignment horizontal="left"/>
      <protection hidden="1"/>
    </xf>
    <xf numFmtId="0" fontId="10" fillId="0" borderId="0" xfId="0" applyNumberFormat="1" applyFont="1" applyProtection="1">
      <protection hidden="1"/>
    </xf>
    <xf numFmtId="0" fontId="4" fillId="0" borderId="0" xfId="0" applyNumberFormat="1" applyFont="1" applyAlignment="1" applyProtection="1">
      <alignment horizontal="left"/>
      <protection hidden="1"/>
    </xf>
    <xf numFmtId="0" fontId="7" fillId="5" borderId="1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4" fillId="0" borderId="0" xfId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7" fontId="13" fillId="0" borderId="0" xfId="4" applyNumberFormat="1" applyFont="1" applyAlignment="1" applyProtection="1">
      <alignment horizontal="left"/>
      <protection hidden="1"/>
    </xf>
    <xf numFmtId="167" fontId="5" fillId="0" borderId="0" xfId="4" applyNumberFormat="1" applyFont="1" applyAlignment="1" applyProtection="1">
      <alignment horizontal="left"/>
      <protection hidden="1"/>
    </xf>
    <xf numFmtId="167" fontId="5" fillId="0" borderId="0" xfId="4" applyNumberFormat="1" applyFont="1" applyProtection="1">
      <protection hidden="1"/>
    </xf>
    <xf numFmtId="168" fontId="4" fillId="4" borderId="1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4" fontId="7" fillId="0" borderId="0" xfId="1" applyFont="1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169" fontId="4" fillId="0" borderId="0" xfId="1" applyNumberFormat="1" applyFont="1" applyProtection="1">
      <protection hidden="1"/>
    </xf>
    <xf numFmtId="169" fontId="7" fillId="5" borderId="1" xfId="1" applyNumberFormat="1" applyFont="1" applyFill="1" applyBorder="1" applyAlignment="1" applyProtection="1">
      <alignment horizontal="center" vertical="center"/>
      <protection hidden="1"/>
    </xf>
    <xf numFmtId="169" fontId="4" fillId="0" borderId="0" xfId="1" applyNumberFormat="1" applyFont="1" applyBorder="1" applyProtection="1">
      <protection hidden="1"/>
    </xf>
    <xf numFmtId="169" fontId="4" fillId="0" borderId="2" xfId="1" applyNumberFormat="1" applyFont="1" applyBorder="1" applyProtection="1">
      <protection hidden="1"/>
    </xf>
    <xf numFmtId="169" fontId="4" fillId="0" borderId="3" xfId="1" applyNumberFormat="1" applyFont="1" applyBorder="1" applyProtection="1">
      <protection hidden="1"/>
    </xf>
    <xf numFmtId="169" fontId="4" fillId="0" borderId="4" xfId="1" applyNumberFormat="1" applyFont="1" applyBorder="1" applyProtection="1">
      <protection hidden="1"/>
    </xf>
    <xf numFmtId="169" fontId="4" fillId="0" borderId="5" xfId="1" applyNumberFormat="1" applyFont="1" applyBorder="1" applyProtection="1">
      <protection hidden="1"/>
    </xf>
    <xf numFmtId="170" fontId="4" fillId="0" borderId="0" xfId="1" applyNumberFormat="1" applyFont="1" applyProtection="1">
      <protection hidden="1"/>
    </xf>
    <xf numFmtId="170" fontId="4" fillId="0" borderId="2" xfId="1" applyNumberFormat="1" applyFont="1" applyBorder="1" applyProtection="1">
      <protection hidden="1"/>
    </xf>
    <xf numFmtId="170" fontId="5" fillId="0" borderId="0" xfId="4" applyNumberFormat="1" applyFont="1" applyProtection="1">
      <protection hidden="1"/>
    </xf>
    <xf numFmtId="170" fontId="4" fillId="0" borderId="3" xfId="1" applyNumberFormat="1" applyFont="1" applyBorder="1" applyProtection="1">
      <protection hidden="1"/>
    </xf>
    <xf numFmtId="170" fontId="4" fillId="0" borderId="4" xfId="1" applyNumberFormat="1" applyFont="1" applyBorder="1" applyProtection="1">
      <protection hidden="1"/>
    </xf>
    <xf numFmtId="170" fontId="4" fillId="0" borderId="5" xfId="1" applyNumberFormat="1" applyFont="1" applyBorder="1" applyProtection="1">
      <protection hidden="1"/>
    </xf>
    <xf numFmtId="170" fontId="4" fillId="0" borderId="0" xfId="1" applyNumberFormat="1" applyFont="1" applyBorder="1" applyProtection="1">
      <protection hidden="1"/>
    </xf>
    <xf numFmtId="170" fontId="5" fillId="0" borderId="0" xfId="4" applyNumberFormat="1" applyFont="1" applyBorder="1" applyProtection="1">
      <protection hidden="1"/>
    </xf>
    <xf numFmtId="169" fontId="7" fillId="0" borderId="6" xfId="1" applyNumberFormat="1" applyFont="1" applyBorder="1" applyProtection="1">
      <protection hidden="1"/>
    </xf>
    <xf numFmtId="170" fontId="7" fillId="0" borderId="6" xfId="1" applyNumberFormat="1" applyFont="1" applyBorder="1" applyProtection="1">
      <protection hidden="1"/>
    </xf>
    <xf numFmtId="169" fontId="7" fillId="0" borderId="0" xfId="1" applyNumberFormat="1" applyFont="1" applyProtection="1">
      <protection hidden="1"/>
    </xf>
    <xf numFmtId="169" fontId="4" fillId="0" borderId="7" xfId="1" applyNumberFormat="1" applyFont="1" applyBorder="1" applyProtection="1">
      <protection hidden="1"/>
    </xf>
    <xf numFmtId="169" fontId="4" fillId="0" borderId="8" xfId="1" applyNumberFormat="1" applyFont="1" applyBorder="1" applyProtection="1">
      <protection hidden="1"/>
    </xf>
    <xf numFmtId="169" fontId="7" fillId="0" borderId="7" xfId="1" applyNumberFormat="1" applyFont="1" applyBorder="1" applyProtection="1">
      <protection hidden="1"/>
    </xf>
    <xf numFmtId="170" fontId="7" fillId="0" borderId="0" xfId="1" applyNumberFormat="1" applyFont="1" applyProtection="1">
      <protection hidden="1"/>
    </xf>
    <xf numFmtId="170" fontId="4" fillId="0" borderId="7" xfId="1" applyNumberFormat="1" applyFont="1" applyBorder="1" applyProtection="1">
      <protection hidden="1"/>
    </xf>
    <xf numFmtId="170" fontId="4" fillId="0" borderId="8" xfId="1" applyNumberFormat="1" applyFont="1" applyBorder="1" applyProtection="1">
      <protection hidden="1"/>
    </xf>
    <xf numFmtId="170" fontId="7" fillId="0" borderId="7" xfId="1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49" fontId="10" fillId="0" borderId="0" xfId="0" applyNumberFormat="1" applyFont="1" applyAlignment="1" applyProtection="1">
      <alignment vertical="center"/>
      <protection hidden="1"/>
    </xf>
    <xf numFmtId="49" fontId="7" fillId="5" borderId="1" xfId="0" applyNumberFormat="1" applyFont="1" applyFill="1" applyBorder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169" fontId="7" fillId="5" borderId="9" xfId="1" applyNumberFormat="1" applyFont="1" applyFill="1" applyBorder="1" applyAlignment="1" applyProtection="1">
      <alignment horizontal="center" vertical="center"/>
      <protection hidden="1"/>
    </xf>
    <xf numFmtId="170" fontId="7" fillId="5" borderId="9" xfId="1" applyNumberFormat="1" applyFont="1" applyFill="1" applyBorder="1" applyAlignment="1" applyProtection="1">
      <alignment horizontal="center" vertical="center"/>
      <protection hidden="1"/>
    </xf>
    <xf numFmtId="168" fontId="4" fillId="5" borderId="1" xfId="0" applyNumberFormat="1" applyFont="1" applyFill="1" applyBorder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left"/>
      <protection hidden="1"/>
    </xf>
    <xf numFmtId="169" fontId="11" fillId="0" borderId="0" xfId="1" applyNumberFormat="1" applyFont="1" applyProtection="1">
      <protection hidden="1"/>
    </xf>
    <xf numFmtId="170" fontId="11" fillId="0" borderId="0" xfId="1" applyNumberFormat="1" applyFont="1" applyProtection="1">
      <protection hidden="1"/>
    </xf>
    <xf numFmtId="164" fontId="11" fillId="0" borderId="0" xfId="1" applyFont="1" applyProtection="1">
      <protection hidden="1"/>
    </xf>
    <xf numFmtId="0" fontId="11" fillId="0" borderId="0" xfId="0" applyFont="1" applyProtection="1">
      <protection hidden="1"/>
    </xf>
    <xf numFmtId="168" fontId="7" fillId="5" borderId="1" xfId="0" applyNumberFormat="1" applyFont="1" applyFill="1" applyBorder="1" applyAlignment="1" applyProtection="1">
      <alignment horizontal="left" vertical="center"/>
      <protection hidden="1"/>
    </xf>
    <xf numFmtId="168" fontId="7" fillId="5" borderId="1" xfId="1" applyNumberFormat="1" applyFont="1" applyFill="1" applyBorder="1" applyAlignment="1" applyProtection="1">
      <alignment horizontal="center" vertical="center"/>
      <protection hidden="1"/>
    </xf>
    <xf numFmtId="168" fontId="7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169" fontId="4" fillId="0" borderId="0" xfId="1" applyNumberFormat="1" applyFont="1" applyAlignment="1" applyProtection="1">
      <alignment vertical="center"/>
      <protection hidden="1"/>
    </xf>
    <xf numFmtId="170" fontId="4" fillId="0" borderId="0" xfId="1" applyNumberFormat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horizontal="center"/>
      <protection hidden="1"/>
    </xf>
    <xf numFmtId="0" fontId="7" fillId="4" borderId="1" xfId="0" applyNumberFormat="1" applyFont="1" applyFill="1" applyBorder="1" applyAlignment="1" applyProtection="1">
      <alignment horizontal="left" vertical="center"/>
      <protection hidden="1"/>
    </xf>
    <xf numFmtId="0" fontId="7" fillId="4" borderId="1" xfId="0" applyNumberFormat="1" applyFont="1" applyFill="1" applyBorder="1" applyAlignment="1" applyProtection="1">
      <alignment horizontal="center" vertical="center"/>
      <protection hidden="1"/>
    </xf>
    <xf numFmtId="0" fontId="7" fillId="5" borderId="1" xfId="1" applyNumberFormat="1" applyFont="1" applyFill="1" applyBorder="1" applyAlignment="1" applyProtection="1">
      <alignment horizontal="center" vertical="center"/>
      <protection hidden="1"/>
    </xf>
    <xf numFmtId="168" fontId="7" fillId="6" borderId="1" xfId="1" applyNumberFormat="1" applyFont="1" applyFill="1" applyBorder="1" applyAlignment="1" applyProtection="1">
      <alignment horizontal="center" vertical="center"/>
      <protection hidden="1"/>
    </xf>
    <xf numFmtId="168" fontId="7" fillId="4" borderId="1" xfId="1" applyNumberFormat="1" applyFont="1" applyFill="1" applyBorder="1" applyAlignment="1" applyProtection="1">
      <alignment horizontal="center" vertical="center"/>
      <protection hidden="1"/>
    </xf>
    <xf numFmtId="164" fontId="7" fillId="4" borderId="1" xfId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1" fillId="0" borderId="0" xfId="0" applyFont="1" applyProtection="1">
      <protection hidden="1"/>
    </xf>
    <xf numFmtId="170" fontId="3" fillId="0" borderId="0" xfId="4" applyNumberFormat="1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168" fontId="12" fillId="0" borderId="0" xfId="0" applyNumberFormat="1" applyFont="1" applyProtection="1">
      <protection hidden="1"/>
    </xf>
    <xf numFmtId="164" fontId="2" fillId="0" borderId="0" xfId="1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5" fillId="0" borderId="0" xfId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4" fontId="10" fillId="0" borderId="0" xfId="1" applyFont="1" applyProtection="1"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4" fillId="5" borderId="15" xfId="0" applyFont="1" applyFill="1" applyBorder="1" applyAlignment="1" applyProtection="1">
      <alignment horizontal="center"/>
      <protection hidden="1"/>
    </xf>
    <xf numFmtId="171" fontId="15" fillId="0" borderId="0" xfId="0" applyNumberFormat="1" applyFont="1" applyAlignment="1" applyProtection="1">
      <alignment horizontal="left"/>
      <protection hidden="1"/>
    </xf>
    <xf numFmtId="171" fontId="4" fillId="4" borderId="1" xfId="0" applyNumberFormat="1" applyFont="1" applyFill="1" applyBorder="1" applyAlignment="1" applyProtection="1">
      <alignment horizontal="center"/>
      <protection hidden="1"/>
    </xf>
    <xf numFmtId="165" fontId="4" fillId="5" borderId="10" xfId="0" applyNumberFormat="1" applyFont="1" applyFill="1" applyBorder="1" applyAlignment="1" applyProtection="1">
      <alignment horizontal="center"/>
      <protection hidden="1"/>
    </xf>
    <xf numFmtId="165" fontId="4" fillId="5" borderId="11" xfId="0" applyNumberFormat="1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Protection="1">
      <protection hidden="1"/>
    </xf>
    <xf numFmtId="166" fontId="7" fillId="5" borderId="10" xfId="1" applyNumberFormat="1" applyFont="1" applyFill="1" applyBorder="1" applyAlignment="1" applyProtection="1">
      <alignment horizontal="center" vertical="center"/>
      <protection hidden="1"/>
    </xf>
    <xf numFmtId="166" fontId="7" fillId="5" borderId="7" xfId="1" applyNumberFormat="1" applyFont="1" applyFill="1" applyBorder="1" applyAlignment="1" applyProtection="1">
      <alignment horizontal="center" vertical="center"/>
      <protection hidden="1"/>
    </xf>
    <xf numFmtId="166" fontId="7" fillId="5" borderId="11" xfId="1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Input" xfId="2" builtinId="20" customBuiltin="1"/>
    <cellStyle name="Normal" xfId="0" builtinId="0" customBuiltin="1"/>
    <cellStyle name="Output" xfId="3" builtinId="21" customBuiltin="1"/>
    <cellStyle name="Percent" xfId="4" builtinId="5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160416</xdr:colOff>
      <xdr:row>3</xdr:row>
      <xdr:rowOff>60156</xdr:rowOff>
    </xdr:from>
    <xdr:to>
      <xdr:col>23</xdr:col>
      <xdr:colOff>232416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6703837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180468</xdr:colOff>
      <xdr:row>3</xdr:row>
      <xdr:rowOff>60156</xdr:rowOff>
    </xdr:from>
    <xdr:to>
      <xdr:col>25</xdr:col>
      <xdr:colOff>252468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3521731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90234</xdr:colOff>
      <xdr:row>3</xdr:row>
      <xdr:rowOff>70182</xdr:rowOff>
    </xdr:from>
    <xdr:to>
      <xdr:col>28</xdr:col>
      <xdr:colOff>162234</xdr:colOff>
      <xdr:row>3</xdr:row>
      <xdr:rowOff>142182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4895339" y="651708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210546</xdr:colOff>
      <xdr:row>3</xdr:row>
      <xdr:rowOff>60156</xdr:rowOff>
    </xdr:from>
    <xdr:to>
      <xdr:col>25</xdr:col>
      <xdr:colOff>282546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3180835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200520</xdr:colOff>
      <xdr:row>3</xdr:row>
      <xdr:rowOff>60156</xdr:rowOff>
    </xdr:from>
    <xdr:to>
      <xdr:col>29</xdr:col>
      <xdr:colOff>272520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21225704" y="661735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130338</xdr:colOff>
      <xdr:row>3</xdr:row>
      <xdr:rowOff>60156</xdr:rowOff>
    </xdr:from>
    <xdr:to>
      <xdr:col>26</xdr:col>
      <xdr:colOff>202338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9320706" y="661735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230598</xdr:colOff>
      <xdr:row>3</xdr:row>
      <xdr:rowOff>70182</xdr:rowOff>
    </xdr:from>
    <xdr:to>
      <xdr:col>26</xdr:col>
      <xdr:colOff>302598</xdr:colOff>
      <xdr:row>3</xdr:row>
      <xdr:rowOff>142182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9420966" y="671761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190494</xdr:colOff>
      <xdr:row>3</xdr:row>
      <xdr:rowOff>60156</xdr:rowOff>
    </xdr:from>
    <xdr:to>
      <xdr:col>27</xdr:col>
      <xdr:colOff>262494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21576626" y="661735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150390</xdr:colOff>
      <xdr:row>4</xdr:row>
      <xdr:rowOff>60156</xdr:rowOff>
    </xdr:from>
    <xdr:to>
      <xdr:col>19</xdr:col>
      <xdr:colOff>222390</xdr:colOff>
      <xdr:row>4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18568732" y="8321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9"/>
  <sheetViews>
    <sheetView zoomScale="95" zoomScaleNormal="95" workbookViewId="0">
      <selection activeCell="B4" sqref="B4:D4"/>
    </sheetView>
  </sheetViews>
  <sheetFormatPr defaultColWidth="9.1328125" defaultRowHeight="15" customHeight="1" x14ac:dyDescent="0.3"/>
  <cols>
    <col min="1" max="1" width="25.73046875" style="3" customWidth="1"/>
    <col min="2" max="2" width="15.73046875" style="3" customWidth="1"/>
    <col min="3" max="3" width="5.73046875" style="3" customWidth="1"/>
    <col min="4" max="14" width="15.73046875" style="3" customWidth="1"/>
    <col min="15" max="16384" width="9.1328125" style="3"/>
  </cols>
  <sheetData>
    <row r="1" spans="1:4" x14ac:dyDescent="0.4">
      <c r="A1" s="2" t="s">
        <v>129</v>
      </c>
    </row>
    <row r="2" spans="1:4" ht="15" customHeight="1" x14ac:dyDescent="0.35">
      <c r="A2" s="4" t="s">
        <v>0</v>
      </c>
    </row>
    <row r="3" spans="1:4" ht="15" customHeight="1" x14ac:dyDescent="0.3">
      <c r="A3" s="12" t="s">
        <v>128</v>
      </c>
    </row>
    <row r="4" spans="1:4" ht="15" customHeight="1" x14ac:dyDescent="0.3">
      <c r="A4" s="3" t="s">
        <v>1</v>
      </c>
      <c r="B4" s="106" t="s">
        <v>93</v>
      </c>
      <c r="C4" s="106"/>
      <c r="D4" s="106"/>
    </row>
    <row r="6" spans="1:4" ht="15" customHeight="1" x14ac:dyDescent="0.3">
      <c r="A6" s="3" t="s">
        <v>3</v>
      </c>
      <c r="B6" s="103">
        <v>41671</v>
      </c>
    </row>
    <row r="8" spans="1:4" ht="15" customHeight="1" x14ac:dyDescent="0.3">
      <c r="A8" s="3" t="s">
        <v>2</v>
      </c>
      <c r="B8" s="5">
        <v>2017</v>
      </c>
    </row>
    <row r="10" spans="1:4" ht="15" customHeight="1" x14ac:dyDescent="0.3">
      <c r="A10" s="3" t="s">
        <v>130</v>
      </c>
      <c r="B10" s="104">
        <f ca="1">IF(ISBLANK($B$8)=TRUE,IF(ISBLANK($B$6)=TRUE,DATE(YEAR(TODAY()),MONTH(TODAY())+1,0),DATE(YEAR(TODAY()),MONTH($B$6)+1,0)),IF(ISBLANK($B$6)=TRUE,DATE($B$8,MONTH(TODAY())+1,0),DATE($B$8,MONTH($B$6)+1,0)))</f>
        <v>42794</v>
      </c>
      <c r="C10" s="105"/>
    </row>
    <row r="12" spans="1:4" ht="15" customHeight="1" x14ac:dyDescent="0.3">
      <c r="A12" s="3" t="s">
        <v>147</v>
      </c>
      <c r="B12" s="29">
        <v>42794</v>
      </c>
    </row>
    <row r="14" spans="1:4" ht="15" customHeight="1" x14ac:dyDescent="0.3">
      <c r="A14" s="3" t="s">
        <v>278</v>
      </c>
      <c r="B14" s="104">
        <f>IF(ISBLANK($B$12)=TRUE,$B$10,$B$12)</f>
        <v>42794</v>
      </c>
      <c r="C14" s="105"/>
    </row>
    <row r="16" spans="1:4" ht="15" customHeight="1" x14ac:dyDescent="0.3">
      <c r="A16" s="3" t="s">
        <v>252</v>
      </c>
      <c r="B16" s="67">
        <f>IF(ISBLANK($B$14)=TRUE,"Select cell B12!",DATE(YEAR($B$14)-1,MONTH($B$14)+1,0))</f>
        <v>42429</v>
      </c>
    </row>
    <row r="18" spans="2:2" ht="15" customHeight="1" x14ac:dyDescent="0.35">
      <c r="B18" s="102">
        <f ca="1">DATE(YEAR(TODAY()),1,1)</f>
        <v>43831</v>
      </c>
    </row>
    <row r="19" spans="2:2" ht="15" customHeight="1" x14ac:dyDescent="0.35">
      <c r="B19" s="102">
        <f ca="1">DATE(YEAR(TODAY()),2,1)</f>
        <v>43862</v>
      </c>
    </row>
    <row r="20" spans="2:2" ht="15" customHeight="1" x14ac:dyDescent="0.35">
      <c r="B20" s="102">
        <f ca="1">DATE(YEAR(TODAY()),3,1)</f>
        <v>43891</v>
      </c>
    </row>
    <row r="21" spans="2:2" ht="15" customHeight="1" x14ac:dyDescent="0.35">
      <c r="B21" s="102">
        <f ca="1">DATE(YEAR(TODAY()),4,1)</f>
        <v>43922</v>
      </c>
    </row>
    <row r="22" spans="2:2" ht="15" customHeight="1" x14ac:dyDescent="0.35">
      <c r="B22" s="102">
        <f ca="1">DATE(YEAR(TODAY()),5,1)</f>
        <v>43952</v>
      </c>
    </row>
    <row r="23" spans="2:2" ht="15" customHeight="1" x14ac:dyDescent="0.35">
      <c r="B23" s="102">
        <f ca="1">DATE(YEAR(TODAY()),6,1)</f>
        <v>43983</v>
      </c>
    </row>
    <row r="24" spans="2:2" ht="15" customHeight="1" x14ac:dyDescent="0.35">
      <c r="B24" s="102">
        <f ca="1">DATE(YEAR(TODAY()),7,1)</f>
        <v>44013</v>
      </c>
    </row>
    <row r="25" spans="2:2" ht="15" customHeight="1" x14ac:dyDescent="0.35">
      <c r="B25" s="102">
        <f ca="1">DATE(YEAR(TODAY()),8,1)</f>
        <v>44044</v>
      </c>
    </row>
    <row r="26" spans="2:2" ht="15" customHeight="1" x14ac:dyDescent="0.35">
      <c r="B26" s="102">
        <f ca="1">DATE(YEAR(TODAY()),9,1)</f>
        <v>44075</v>
      </c>
    </row>
    <row r="27" spans="2:2" ht="15" customHeight="1" x14ac:dyDescent="0.35">
      <c r="B27" s="102">
        <f ca="1">DATE(YEAR(TODAY()),10,1)</f>
        <v>44105</v>
      </c>
    </row>
    <row r="28" spans="2:2" ht="15" customHeight="1" x14ac:dyDescent="0.35">
      <c r="B28" s="102">
        <f ca="1">DATE(YEAR(TODAY()),11,1)</f>
        <v>44136</v>
      </c>
    </row>
    <row r="29" spans="2:2" ht="15" customHeight="1" x14ac:dyDescent="0.35">
      <c r="B29" s="102">
        <f ca="1">DATE(YEAR(TODAY()),12,1)</f>
        <v>44166</v>
      </c>
    </row>
  </sheetData>
  <mergeCells count="3">
    <mergeCell ref="B10:C10"/>
    <mergeCell ref="B4:D4"/>
    <mergeCell ref="B14:C14"/>
  </mergeCells>
  <conditionalFormatting sqref="B16">
    <cfRule type="expression" dxfId="16" priority="3" stopIfTrue="1">
      <formula>OR(ISBLANK(B16)=TRUE,ISNA(MATCH(B16,PYMonths,0))=TRUE)=TRUE</formula>
    </cfRule>
  </conditionalFormatting>
  <conditionalFormatting sqref="B12">
    <cfRule type="expression" dxfId="15" priority="2" stopIfTrue="1">
      <formula>OR(ISBLANK(B12)=TRUE,ISNA(MATCH(B12,TBMonths,0))=TRUE)=TRUE</formula>
    </cfRule>
  </conditionalFormatting>
  <conditionalFormatting sqref="B4:D4 B6 B8">
    <cfRule type="containsBlanks" dxfId="14" priority="1" stopIfTrue="1">
      <formula>LEN(TRIM(B4))=0</formula>
    </cfRule>
  </conditionalFormatting>
  <dataValidations count="3">
    <dataValidation type="list" allowBlank="1" showInputMessage="1" showErrorMessage="1" errorTitle="Invalid Selection" error="Select a valid month from the list box." sqref="B6" xr:uid="{00000000-0002-0000-0100-000000000000}">
      <formula1>MonthNames</formula1>
    </dataValidation>
    <dataValidation type="whole" allowBlank="1" showInputMessage="1" showErrorMessage="1" errorTitle="Invalid Data" error="Enter a valid year between 2000 and 2100." sqref="B8" xr:uid="{00000000-0002-0000-0100-000001000000}">
      <formula1>2000</formula1>
      <formula2>2100</formula2>
    </dataValidation>
    <dataValidation type="list" allowBlank="1" showInputMessage="1" showErrorMessage="1" errorTitle="Invalid Selection" error="Select a valid reporting period from the list box." sqref="B12" xr:uid="{00000000-0002-0000-0100-000002000000}">
      <formula1>TBMonths</formula1>
    </dataValidation>
  </dataValidations>
  <pageMargins left="0.55118110236220474" right="0.55118110236220474" top="0.55118110236220474" bottom="0.55118110236220474" header="0.39370078740157483" footer="0.39370078740157483"/>
  <pageSetup paperSize="9" orientation="portrait" r:id="rId1"/>
  <headerFooter>
    <oddFooter>&amp;C&amp;9Page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40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15" width="12.73046875" style="35" customWidth="1"/>
    <col min="16" max="16384" width="9.1328125" style="3"/>
  </cols>
  <sheetData>
    <row r="1" spans="1:15" ht="15.95" customHeight="1" x14ac:dyDescent="0.4">
      <c r="B1" s="8" t="str">
        <f>'Set-up'!$B$4</f>
        <v>ABC Trading (Pty) Limited</v>
      </c>
    </row>
    <row r="2" spans="1:15" s="25" customFormat="1" ht="15.95" customHeight="1" x14ac:dyDescent="0.35">
      <c r="A2" s="33"/>
      <c r="B2" s="76" t="s">
        <v>275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25" customFormat="1" ht="15.95" customHeight="1" x14ac:dyDescent="0.35">
      <c r="A3" s="22"/>
      <c r="B3" s="23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75" customFormat="1" ht="15.95" customHeight="1" x14ac:dyDescent="0.3">
      <c r="A4" s="93"/>
      <c r="B4" s="73"/>
      <c r="C4" s="74">
        <f ca="1">DATE(YEAR('Set-up'!$B$10)-1,MONTH('Set-up'!$B$10)+2,0)</f>
        <v>42460</v>
      </c>
      <c r="D4" s="74">
        <f ca="1">DATE(YEAR(C4),MONTH(C4)+2,0)</f>
        <v>42490</v>
      </c>
      <c r="E4" s="74">
        <f t="shared" ref="E4:N4" ca="1" si="0">DATE(YEAR(D4),MONTH(D4)+2,0)</f>
        <v>42521</v>
      </c>
      <c r="F4" s="74">
        <f t="shared" ca="1" si="0"/>
        <v>42551</v>
      </c>
      <c r="G4" s="74">
        <f t="shared" ca="1" si="0"/>
        <v>42582</v>
      </c>
      <c r="H4" s="74">
        <f t="shared" ca="1" si="0"/>
        <v>42613</v>
      </c>
      <c r="I4" s="74">
        <f t="shared" ca="1" si="0"/>
        <v>42643</v>
      </c>
      <c r="J4" s="74">
        <f t="shared" ca="1" si="0"/>
        <v>42674</v>
      </c>
      <c r="K4" s="74">
        <f t="shared" ca="1" si="0"/>
        <v>42704</v>
      </c>
      <c r="L4" s="74">
        <f t="shared" ca="1" si="0"/>
        <v>42735</v>
      </c>
      <c r="M4" s="74">
        <f t="shared" ca="1" si="0"/>
        <v>42766</v>
      </c>
      <c r="N4" s="74">
        <f t="shared" ca="1" si="0"/>
        <v>42794</v>
      </c>
      <c r="O4" s="74" t="s">
        <v>277</v>
      </c>
    </row>
    <row r="5" spans="1:15" ht="15" customHeight="1" x14ac:dyDescent="0.35">
      <c r="A5" s="19" t="s">
        <v>95</v>
      </c>
      <c r="B5" s="9" t="s">
        <v>4</v>
      </c>
      <c r="C5" s="37">
        <f ca="1">IF(C$4&gt;'Set-up'!$B$14,0,-IF(ISNA(MATCH(C$4,TBMonths,0))=TRUE,0,SUMIF(TBAll,$A5&amp;"*",OFFSET(TBCY!$C$4,1,MATCH(C$4,TBMonths,0),TBRowCount,1)))+IF(ISNA(MATCH(C$4,TBMonths,0))=TRUE,0,SUMIF(TBAll,$A5&amp;"*",OFFSET(TBCY!$C$4,1,MATCH(C$4,TBMonths,0)-1,TBRowCount,1))))</f>
        <v>0</v>
      </c>
      <c r="D5" s="37">
        <f ca="1">IF(D$4&gt;'Set-up'!$B$14,0,-IF(ISNA(MATCH(D$4,TBMonths,0))=TRUE,0,SUMIF(TBAll,$A5&amp;"*",OFFSET(TBCY!$C$4,1,MATCH(D$4,TBMonths,0),TBRowCount,1)))+IF(ISNA(MATCH(D$4,TBMonths,0))=TRUE,0,SUMIF(TBAll,$A5&amp;"*",OFFSET(TBCY!$C$4,1,MATCH(D$4,TBMonths,0)-1,TBRowCount,1))))</f>
        <v>0</v>
      </c>
      <c r="E5" s="37">
        <f ca="1">IF(E$4&gt;'Set-up'!$B$14,0,-IF(ISNA(MATCH(E$4,TBMonths,0))=TRUE,0,SUMIF(TBAll,$A5&amp;"*",OFFSET(TBCY!$C$4,1,MATCH(E$4,TBMonths,0),TBRowCount,1)))+IF(ISNA(MATCH(E$4,TBMonths,0))=TRUE,0,SUMIF(TBAll,$A5&amp;"*",OFFSET(TBCY!$C$4,1,MATCH(E$4,TBMonths,0)-1,TBRowCount,1))))</f>
        <v>0</v>
      </c>
      <c r="F5" s="37">
        <f ca="1">IF(F$4&gt;'Set-up'!$B$14,0,-IF(ISNA(MATCH(F$4,TBMonths,0))=TRUE,0,SUMIF(TBAll,$A5&amp;"*",OFFSET(TBCY!$C$4,1,MATCH(F$4,TBMonths,0),TBRowCount,1)))+IF(ISNA(MATCH(F$4,TBMonths,0))=TRUE,0,SUMIF(TBAll,$A5&amp;"*",OFFSET(TBCY!$C$4,1,MATCH(F$4,TBMonths,0)-1,TBRowCount,1))))</f>
        <v>0</v>
      </c>
      <c r="G5" s="37">
        <f ca="1">IF(G$4&gt;'Set-up'!$B$14,0,-IF(ISNA(MATCH(G$4,TBMonths,0))=TRUE,0,SUMIF(TBAll,$A5&amp;"*",OFFSET(TBCY!$C$4,1,MATCH(G$4,TBMonths,0),TBRowCount,1)))+IF(ISNA(MATCH(G$4,TBMonths,0))=TRUE,0,SUMIF(TBAll,$A5&amp;"*",OFFSET(TBCY!$C$4,1,MATCH(G$4,TBMonths,0)-1,TBRowCount,1))))</f>
        <v>0</v>
      </c>
      <c r="H5" s="37">
        <f ca="1">IF(H$4&gt;'Set-up'!$B$14,0,-IF(ISNA(MATCH(H$4,TBMonths,0))=TRUE,0,SUMIF(TBAll,$A5&amp;"*",OFFSET(TBCY!$C$4,1,MATCH(H$4,TBMonths,0),TBRowCount,1)))+IF(ISNA(MATCH(H$4,TBMonths,0))=TRUE,0,SUMIF(TBAll,$A5&amp;"*",OFFSET(TBCY!$C$4,1,MATCH(H$4,TBMonths,0)-1,TBRowCount,1))))</f>
        <v>0</v>
      </c>
      <c r="I5" s="37">
        <f ca="1">IF(I$4&gt;'Set-up'!$B$14,0,-IF(ISNA(MATCH(I$4,TBMonths,0))=TRUE,0,SUMIF(TBAll,$A5&amp;"*",OFFSET(TBCY!$C$4,1,MATCH(I$4,TBMonths,0),TBRowCount,1)))+IF(ISNA(MATCH(I$4,TBMonths,0))=TRUE,0,SUMIF(TBAll,$A5&amp;"*",OFFSET(TBCY!$C$4,1,MATCH(I$4,TBMonths,0)-1,TBRowCount,1))))</f>
        <v>0</v>
      </c>
      <c r="J5" s="37">
        <f ca="1">IF(J$4&gt;'Set-up'!$B$14,0,-IF(ISNA(MATCH(J$4,TBMonths,0))=TRUE,0,SUMIF(TBAll,$A5&amp;"*",OFFSET(TBCY!$C$4,1,MATCH(J$4,TBMonths,0),TBRowCount,1)))+IF(ISNA(MATCH(J$4,TBMonths,0))=TRUE,0,SUMIF(TBAll,$A5&amp;"*",OFFSET(TBCY!$C$4,1,MATCH(J$4,TBMonths,0)-1,TBRowCount,1))))</f>
        <v>0</v>
      </c>
      <c r="K5" s="37">
        <f ca="1">IF(K$4&gt;'Set-up'!$B$14,0,-IF(ISNA(MATCH(K$4,TBMonths,0))=TRUE,0,SUMIF(TBAll,$A5&amp;"*",OFFSET(TBCY!$C$4,1,MATCH(K$4,TBMonths,0),TBRowCount,1)))+IF(ISNA(MATCH(K$4,TBMonths,0))=TRUE,0,SUMIF(TBAll,$A5&amp;"*",OFFSET(TBCY!$C$4,1,MATCH(K$4,TBMonths,0)-1,TBRowCount,1))))</f>
        <v>0</v>
      </c>
      <c r="L5" s="37">
        <f ca="1">IF(L$4&gt;'Set-up'!$B$14,0,-IF(ISNA(MATCH(L$4,TBMonths,0))=TRUE,0,SUMIF(TBAll,$A5&amp;"*",OFFSET(TBCY!$C$4,1,MATCH(L$4,TBMonths,0),TBRowCount,1)))+IF(ISNA(MATCH(L$4,TBMonths,0))=TRUE,0,SUMIF(TBAll,$A5&amp;"*",OFFSET(TBCY!$C$4,1,MATCH(L$4,TBMonths,0)-1,TBRowCount,1))))</f>
        <v>0</v>
      </c>
      <c r="M5" s="37">
        <f ca="1">IF(M$4&gt;'Set-up'!$B$14,0,-IF(ISNA(MATCH(M$4,TBMonths,0))=TRUE,0,SUMIF(TBAll,$A5&amp;"*",OFFSET(TBCY!$C$4,1,MATCH(M$4,TBMonths,0),TBRowCount,1)))+IF(ISNA(MATCH(M$4,TBMonths,0))=TRUE,0,SUMIF(TBAll,$A5&amp;"*",OFFSET(TBCY!$C$4,1,MATCH(M$4,TBMonths,0)-1,TBRowCount,1))))</f>
        <v>0</v>
      </c>
      <c r="N5" s="37">
        <f ca="1">IF(N$4&gt;'Set-up'!$B$14,0,-IF(ISNA(MATCH(N$4,TBMonths,0))=TRUE,0,SUMIF(TBAll,$A5&amp;"*",OFFSET(TBCY!$C$4,1,MATCH(N$4,TBMonths,0),TBRowCount,1)))+IF(ISNA(MATCH(N$4,TBMonths,0))=TRUE,0,SUMIF(TBAll,$A5&amp;"*",OFFSET(TBCY!$C$4,1,MATCH(N$4,TBMonths,0)-1,TBRowCount,1))))</f>
        <v>0</v>
      </c>
      <c r="O5" s="37">
        <f ca="1">SUM(C5:N5)</f>
        <v>0</v>
      </c>
    </row>
    <row r="6" spans="1:15" ht="15" customHeight="1" x14ac:dyDescent="0.35">
      <c r="A6" s="19" t="s">
        <v>97</v>
      </c>
      <c r="B6" s="9" t="s">
        <v>120</v>
      </c>
      <c r="C6" s="35">
        <f ca="1">IF(C$4&gt;'Set-up'!$B$14,0,IF(ISNA(MATCH(C$4,TBMonths,0))=TRUE,0,SUMIF(TBAll,$A6&amp;"*",OFFSET(TBCY!$C$4,1,MATCH(C$4,TBMonths,0),TBRowCount,1)))-IF(ISNA(MATCH(C$4,TBMonths,0))=TRUE,0,SUMIF(TBAll,$A6&amp;"*",OFFSET(TBCY!$C$4,1,MATCH(C$4,TBMonths,0)-1,TBRowCount,1))))</f>
        <v>0</v>
      </c>
      <c r="D6" s="35">
        <f ca="1">IF(D$4&gt;'Set-up'!$B$14,0,IF(ISNA(MATCH(D$4,TBMonths,0))=TRUE,0,SUMIF(TBAll,$A6&amp;"*",OFFSET(TBCY!$C$4,1,MATCH(D$4,TBMonths,0),TBRowCount,1)))-IF(ISNA(MATCH(D$4,TBMonths,0))=TRUE,0,SUMIF(TBAll,$A6&amp;"*",OFFSET(TBCY!$C$4,1,MATCH(D$4,TBMonths,0)-1,TBRowCount,1))))</f>
        <v>0</v>
      </c>
      <c r="E6" s="35">
        <f ca="1">IF(E$4&gt;'Set-up'!$B$14,0,IF(ISNA(MATCH(E$4,TBMonths,0))=TRUE,0,SUMIF(TBAll,$A6&amp;"*",OFFSET(TBCY!$C$4,1,MATCH(E$4,TBMonths,0),TBRowCount,1)))-IF(ISNA(MATCH(E$4,TBMonths,0))=TRUE,0,SUMIF(TBAll,$A6&amp;"*",OFFSET(TBCY!$C$4,1,MATCH(E$4,TBMonths,0)-1,TBRowCount,1))))</f>
        <v>0</v>
      </c>
      <c r="F6" s="35">
        <f ca="1">IF(F$4&gt;'Set-up'!$B$14,0,IF(ISNA(MATCH(F$4,TBMonths,0))=TRUE,0,SUMIF(TBAll,$A6&amp;"*",OFFSET(TBCY!$C$4,1,MATCH(F$4,TBMonths,0),TBRowCount,1)))-IF(ISNA(MATCH(F$4,TBMonths,0))=TRUE,0,SUMIF(TBAll,$A6&amp;"*",OFFSET(TBCY!$C$4,1,MATCH(F$4,TBMonths,0)-1,TBRowCount,1))))</f>
        <v>0</v>
      </c>
      <c r="G6" s="35">
        <f ca="1">IF(G$4&gt;'Set-up'!$B$14,0,IF(ISNA(MATCH(G$4,TBMonths,0))=TRUE,0,SUMIF(TBAll,$A6&amp;"*",OFFSET(TBCY!$C$4,1,MATCH(G$4,TBMonths,0),TBRowCount,1)))-IF(ISNA(MATCH(G$4,TBMonths,0))=TRUE,0,SUMIF(TBAll,$A6&amp;"*",OFFSET(TBCY!$C$4,1,MATCH(G$4,TBMonths,0)-1,TBRowCount,1))))</f>
        <v>0</v>
      </c>
      <c r="H6" s="35">
        <f ca="1">IF(H$4&gt;'Set-up'!$B$14,0,IF(ISNA(MATCH(H$4,TBMonths,0))=TRUE,0,SUMIF(TBAll,$A6&amp;"*",OFFSET(TBCY!$C$4,1,MATCH(H$4,TBMonths,0),TBRowCount,1)))-IF(ISNA(MATCH(H$4,TBMonths,0))=TRUE,0,SUMIF(TBAll,$A6&amp;"*",OFFSET(TBCY!$C$4,1,MATCH(H$4,TBMonths,0)-1,TBRowCount,1))))</f>
        <v>0</v>
      </c>
      <c r="I6" s="35">
        <f ca="1">IF(I$4&gt;'Set-up'!$B$14,0,IF(ISNA(MATCH(I$4,TBMonths,0))=TRUE,0,SUMIF(TBAll,$A6&amp;"*",OFFSET(TBCY!$C$4,1,MATCH(I$4,TBMonths,0),TBRowCount,1)))-IF(ISNA(MATCH(I$4,TBMonths,0))=TRUE,0,SUMIF(TBAll,$A6&amp;"*",OFFSET(TBCY!$C$4,1,MATCH(I$4,TBMonths,0)-1,TBRowCount,1))))</f>
        <v>0</v>
      </c>
      <c r="J6" s="35">
        <f ca="1">IF(J$4&gt;'Set-up'!$B$14,0,IF(ISNA(MATCH(J$4,TBMonths,0))=TRUE,0,SUMIF(TBAll,$A6&amp;"*",OFFSET(TBCY!$C$4,1,MATCH(J$4,TBMonths,0),TBRowCount,1)))-IF(ISNA(MATCH(J$4,TBMonths,0))=TRUE,0,SUMIF(TBAll,$A6&amp;"*",OFFSET(TBCY!$C$4,1,MATCH(J$4,TBMonths,0)-1,TBRowCount,1))))</f>
        <v>0</v>
      </c>
      <c r="K6" s="35">
        <f ca="1">IF(K$4&gt;'Set-up'!$B$14,0,IF(ISNA(MATCH(K$4,TBMonths,0))=TRUE,0,SUMIF(TBAll,$A6&amp;"*",OFFSET(TBCY!$C$4,1,MATCH(K$4,TBMonths,0),TBRowCount,1)))-IF(ISNA(MATCH(K$4,TBMonths,0))=TRUE,0,SUMIF(TBAll,$A6&amp;"*",OFFSET(TBCY!$C$4,1,MATCH(K$4,TBMonths,0)-1,TBRowCount,1))))</f>
        <v>0</v>
      </c>
      <c r="L6" s="35">
        <f ca="1">IF(L$4&gt;'Set-up'!$B$14,0,IF(ISNA(MATCH(L$4,TBMonths,0))=TRUE,0,SUMIF(TBAll,$A6&amp;"*",OFFSET(TBCY!$C$4,1,MATCH(L$4,TBMonths,0),TBRowCount,1)))-IF(ISNA(MATCH(L$4,TBMonths,0))=TRUE,0,SUMIF(TBAll,$A6&amp;"*",OFFSET(TBCY!$C$4,1,MATCH(L$4,TBMonths,0)-1,TBRowCount,1))))</f>
        <v>0</v>
      </c>
      <c r="M6" s="35">
        <f ca="1">IF(M$4&gt;'Set-up'!$B$14,0,IF(ISNA(MATCH(M$4,TBMonths,0))=TRUE,0,SUMIF(TBAll,$A6&amp;"*",OFFSET(TBCY!$C$4,1,MATCH(M$4,TBMonths,0),TBRowCount,1)))-IF(ISNA(MATCH(M$4,TBMonths,0))=TRUE,0,SUMIF(TBAll,$A6&amp;"*",OFFSET(TBCY!$C$4,1,MATCH(M$4,TBMonths,0)-1,TBRowCount,1))))</f>
        <v>0</v>
      </c>
      <c r="N6" s="35">
        <f ca="1">IF(N$4&gt;'Set-up'!$B$14,0,IF(ISNA(MATCH(N$4,TBMonths,0))=TRUE,0,SUMIF(TBAll,$A6&amp;"*",OFFSET(TBCY!$C$4,1,MATCH(N$4,TBMonths,0),TBRowCount,1)))-IF(ISNA(MATCH(N$4,TBMonths,0))=TRUE,0,SUMIF(TBAll,$A6&amp;"*",OFFSET(TBCY!$C$4,1,MATCH(N$4,TBMonths,0)-1,TBRowCount,1))))</f>
        <v>0</v>
      </c>
      <c r="O6" s="37">
        <f ca="1">SUM(C6:N6)</f>
        <v>0</v>
      </c>
    </row>
    <row r="7" spans="1:15" ht="15" customHeight="1" x14ac:dyDescent="0.35">
      <c r="B7" s="9" t="s">
        <v>119</v>
      </c>
      <c r="C7" s="38">
        <f ca="1">SUM(C5,-C6)</f>
        <v>0</v>
      </c>
      <c r="D7" s="38">
        <f ca="1">SUM(D5,-D6)</f>
        <v>0</v>
      </c>
      <c r="E7" s="38">
        <f t="shared" ref="E7:O7" ca="1" si="1">SUM(E5,-E6)</f>
        <v>0</v>
      </c>
      <c r="F7" s="38">
        <f t="shared" ca="1" si="1"/>
        <v>0</v>
      </c>
      <c r="G7" s="38">
        <f t="shared" ca="1" si="1"/>
        <v>0</v>
      </c>
      <c r="H7" s="38">
        <f t="shared" ca="1" si="1"/>
        <v>0</v>
      </c>
      <c r="I7" s="38">
        <f t="shared" ca="1" si="1"/>
        <v>0</v>
      </c>
      <c r="J7" s="38">
        <f t="shared" ca="1" si="1"/>
        <v>0</v>
      </c>
      <c r="K7" s="38">
        <f t="shared" ca="1" si="1"/>
        <v>0</v>
      </c>
      <c r="L7" s="38">
        <f t="shared" ca="1" si="1"/>
        <v>0</v>
      </c>
      <c r="M7" s="38">
        <f t="shared" ca="1" si="1"/>
        <v>0</v>
      </c>
      <c r="N7" s="38">
        <f t="shared" ca="1" si="1"/>
        <v>0</v>
      </c>
      <c r="O7" s="38">
        <f t="shared" ca="1" si="1"/>
        <v>0</v>
      </c>
    </row>
    <row r="8" spans="1:15" s="28" customFormat="1" ht="15" customHeight="1" x14ac:dyDescent="0.35">
      <c r="A8" s="26"/>
      <c r="B8" s="27" t="s">
        <v>137</v>
      </c>
      <c r="C8" s="44">
        <f ca="1">IF(C5=0,0,C7/C5)</f>
        <v>0</v>
      </c>
      <c r="D8" s="44">
        <f ca="1">IF(D5=0,0,D7/D5)</f>
        <v>0</v>
      </c>
      <c r="E8" s="44">
        <f t="shared" ref="E8:O8" ca="1" si="2">IF(E5=0,0,E7/E5)</f>
        <v>0</v>
      </c>
      <c r="F8" s="44">
        <f t="shared" ca="1" si="2"/>
        <v>0</v>
      </c>
      <c r="G8" s="44">
        <f t="shared" ca="1" si="2"/>
        <v>0</v>
      </c>
      <c r="H8" s="44">
        <f t="shared" ca="1" si="2"/>
        <v>0</v>
      </c>
      <c r="I8" s="44">
        <f t="shared" ca="1" si="2"/>
        <v>0</v>
      </c>
      <c r="J8" s="44">
        <f t="shared" ca="1" si="2"/>
        <v>0</v>
      </c>
      <c r="K8" s="44">
        <f t="shared" ca="1" si="2"/>
        <v>0</v>
      </c>
      <c r="L8" s="44">
        <f t="shared" ca="1" si="2"/>
        <v>0</v>
      </c>
      <c r="M8" s="44">
        <f t="shared" ca="1" si="2"/>
        <v>0</v>
      </c>
      <c r="N8" s="44">
        <f t="shared" ca="1" si="2"/>
        <v>0</v>
      </c>
      <c r="O8" s="44">
        <f t="shared" ca="1" si="2"/>
        <v>0</v>
      </c>
    </row>
    <row r="9" spans="1:15" ht="15" customHeight="1" x14ac:dyDescent="0.35">
      <c r="A9" s="19" t="s">
        <v>96</v>
      </c>
      <c r="B9" s="9" t="s">
        <v>5</v>
      </c>
      <c r="C9" s="35">
        <f ca="1">IF(C$4&gt;'Set-up'!$B$14,0,-IF(ISNA(MATCH(C$4,TBMonths,0))=TRUE,0,SUMIF(TBAll,$A9&amp;"*",OFFSET(TBCY!$C$4,1,MATCH(C$4,TBMonths,0),TBRowCount,1)))+IF(ISNA(MATCH(C$4,TBMonths,0))=TRUE,0,SUMIF(TBAll,$A9&amp;"*",OFFSET(TBCY!$C$4,1,MATCH(C$4,TBMonths,0)-1,TBRowCount,1))))</f>
        <v>0</v>
      </c>
      <c r="D9" s="35">
        <f ca="1">IF(D$4&gt;'Set-up'!$B$14,0,-IF(ISNA(MATCH(D$4,TBMonths,0))=TRUE,0,SUMIF(TBAll,$A9&amp;"*",OFFSET(TBCY!$C$4,1,MATCH(D$4,TBMonths,0),TBRowCount,1)))+IF(ISNA(MATCH(D$4,TBMonths,0))=TRUE,0,SUMIF(TBAll,$A9&amp;"*",OFFSET(TBCY!$C$4,1,MATCH(D$4,TBMonths,0)-1,TBRowCount,1))))</f>
        <v>0</v>
      </c>
      <c r="E9" s="35">
        <f ca="1">IF(E$4&gt;'Set-up'!$B$14,0,-IF(ISNA(MATCH(E$4,TBMonths,0))=TRUE,0,SUMIF(TBAll,$A9&amp;"*",OFFSET(TBCY!$C$4,1,MATCH(E$4,TBMonths,0),TBRowCount,1)))+IF(ISNA(MATCH(E$4,TBMonths,0))=TRUE,0,SUMIF(TBAll,$A9&amp;"*",OFFSET(TBCY!$C$4,1,MATCH(E$4,TBMonths,0)-1,TBRowCount,1))))</f>
        <v>0</v>
      </c>
      <c r="F9" s="35">
        <f ca="1">IF(F$4&gt;'Set-up'!$B$14,0,-IF(ISNA(MATCH(F$4,TBMonths,0))=TRUE,0,SUMIF(TBAll,$A9&amp;"*",OFFSET(TBCY!$C$4,1,MATCH(F$4,TBMonths,0),TBRowCount,1)))+IF(ISNA(MATCH(F$4,TBMonths,0))=TRUE,0,SUMIF(TBAll,$A9&amp;"*",OFFSET(TBCY!$C$4,1,MATCH(F$4,TBMonths,0)-1,TBRowCount,1))))</f>
        <v>0</v>
      </c>
      <c r="G9" s="35">
        <f ca="1">IF(G$4&gt;'Set-up'!$B$14,0,-IF(ISNA(MATCH(G$4,TBMonths,0))=TRUE,0,SUMIF(TBAll,$A9&amp;"*",OFFSET(TBCY!$C$4,1,MATCH(G$4,TBMonths,0),TBRowCount,1)))+IF(ISNA(MATCH(G$4,TBMonths,0))=TRUE,0,SUMIF(TBAll,$A9&amp;"*",OFFSET(TBCY!$C$4,1,MATCH(G$4,TBMonths,0)-1,TBRowCount,1))))</f>
        <v>0</v>
      </c>
      <c r="H9" s="35">
        <f ca="1">IF(H$4&gt;'Set-up'!$B$14,0,-IF(ISNA(MATCH(H$4,TBMonths,0))=TRUE,0,SUMIF(TBAll,$A9&amp;"*",OFFSET(TBCY!$C$4,1,MATCH(H$4,TBMonths,0),TBRowCount,1)))+IF(ISNA(MATCH(H$4,TBMonths,0))=TRUE,0,SUMIF(TBAll,$A9&amp;"*",OFFSET(TBCY!$C$4,1,MATCH(H$4,TBMonths,0)-1,TBRowCount,1))))</f>
        <v>0</v>
      </c>
      <c r="I9" s="35">
        <f ca="1">IF(I$4&gt;'Set-up'!$B$14,0,-IF(ISNA(MATCH(I$4,TBMonths,0))=TRUE,0,SUMIF(TBAll,$A9&amp;"*",OFFSET(TBCY!$C$4,1,MATCH(I$4,TBMonths,0),TBRowCount,1)))+IF(ISNA(MATCH(I$4,TBMonths,0))=TRUE,0,SUMIF(TBAll,$A9&amp;"*",OFFSET(TBCY!$C$4,1,MATCH(I$4,TBMonths,0)-1,TBRowCount,1))))</f>
        <v>0</v>
      </c>
      <c r="J9" s="35">
        <f ca="1">IF(J$4&gt;'Set-up'!$B$14,0,-IF(ISNA(MATCH(J$4,TBMonths,0))=TRUE,0,SUMIF(TBAll,$A9&amp;"*",OFFSET(TBCY!$C$4,1,MATCH(J$4,TBMonths,0),TBRowCount,1)))+IF(ISNA(MATCH(J$4,TBMonths,0))=TRUE,0,SUMIF(TBAll,$A9&amp;"*",OFFSET(TBCY!$C$4,1,MATCH(J$4,TBMonths,0)-1,TBRowCount,1))))</f>
        <v>0</v>
      </c>
      <c r="K9" s="35">
        <f ca="1">IF(K$4&gt;'Set-up'!$B$14,0,-IF(ISNA(MATCH(K$4,TBMonths,0))=TRUE,0,SUMIF(TBAll,$A9&amp;"*",OFFSET(TBCY!$C$4,1,MATCH(K$4,TBMonths,0),TBRowCount,1)))+IF(ISNA(MATCH(K$4,TBMonths,0))=TRUE,0,SUMIF(TBAll,$A9&amp;"*",OFFSET(TBCY!$C$4,1,MATCH(K$4,TBMonths,0)-1,TBRowCount,1))))</f>
        <v>0</v>
      </c>
      <c r="L9" s="35">
        <f ca="1">IF(L$4&gt;'Set-up'!$B$14,0,-IF(ISNA(MATCH(L$4,TBMonths,0))=TRUE,0,SUMIF(TBAll,$A9&amp;"*",OFFSET(TBCY!$C$4,1,MATCH(L$4,TBMonths,0),TBRowCount,1)))+IF(ISNA(MATCH(L$4,TBMonths,0))=TRUE,0,SUMIF(TBAll,$A9&amp;"*",OFFSET(TBCY!$C$4,1,MATCH(L$4,TBMonths,0)-1,TBRowCount,1))))</f>
        <v>0</v>
      </c>
      <c r="M9" s="35">
        <f ca="1">IF(M$4&gt;'Set-up'!$B$14,0,-IF(ISNA(MATCH(M$4,TBMonths,0))=TRUE,0,SUMIF(TBAll,$A9&amp;"*",OFFSET(TBCY!$C$4,1,MATCH(M$4,TBMonths,0),TBRowCount,1)))+IF(ISNA(MATCH(M$4,TBMonths,0))=TRUE,0,SUMIF(TBAll,$A9&amp;"*",OFFSET(TBCY!$C$4,1,MATCH(M$4,TBMonths,0)-1,TBRowCount,1))))</f>
        <v>0</v>
      </c>
      <c r="N9" s="35">
        <f ca="1">IF(N$4&gt;'Set-up'!$B$14,0,-IF(ISNA(MATCH(N$4,TBMonths,0))=TRUE,0,SUMIF(TBAll,$A9&amp;"*",OFFSET(TBCY!$C$4,1,MATCH(N$4,TBMonths,0),TBRowCount,1)))+IF(ISNA(MATCH(N$4,TBMonths,0))=TRUE,0,SUMIF(TBAll,$A9&amp;"*",OFFSET(TBCY!$C$4,1,MATCH(N$4,TBMonths,0)-1,TBRowCount,1))))</f>
        <v>0</v>
      </c>
      <c r="O9" s="35">
        <f ca="1">SUM(C9:N9)</f>
        <v>0</v>
      </c>
    </row>
    <row r="10" spans="1:15" ht="15" customHeight="1" x14ac:dyDescent="0.35">
      <c r="B10" s="9" t="s">
        <v>138</v>
      </c>
      <c r="C10" s="35">
        <f ca="1">SUM(OFFSET($B$10,1,COLUMN(C4)-COLUMN($B4),ROW($B$32)-ROW($B$10)-1,1))</f>
        <v>0</v>
      </c>
      <c r="D10" s="35">
        <f ca="1">SUM(OFFSET($B$10,1,COLUMN(D4)-COLUMN($B4),ROW($B$32)-ROW($B$10)-1,1))</f>
        <v>0</v>
      </c>
      <c r="E10" s="35">
        <f t="shared" ref="E10:N10" ca="1" si="3">SUM(OFFSET($B$10,1,COLUMN(E4)-COLUMN($B4),ROW($B$32)-ROW($B$10)-1,1))</f>
        <v>0</v>
      </c>
      <c r="F10" s="35">
        <f t="shared" ca="1" si="3"/>
        <v>0</v>
      </c>
      <c r="G10" s="35">
        <f t="shared" ca="1" si="3"/>
        <v>0</v>
      </c>
      <c r="H10" s="35">
        <f t="shared" ca="1" si="3"/>
        <v>0</v>
      </c>
      <c r="I10" s="35">
        <f t="shared" ca="1" si="3"/>
        <v>0</v>
      </c>
      <c r="J10" s="35">
        <f t="shared" ca="1" si="3"/>
        <v>0</v>
      </c>
      <c r="K10" s="35">
        <f t="shared" ca="1" si="3"/>
        <v>0</v>
      </c>
      <c r="L10" s="35">
        <f t="shared" ca="1" si="3"/>
        <v>0</v>
      </c>
      <c r="M10" s="35">
        <f t="shared" ca="1" si="3"/>
        <v>0</v>
      </c>
      <c r="N10" s="35">
        <f t="shared" ca="1" si="3"/>
        <v>0</v>
      </c>
      <c r="O10" s="35">
        <f ca="1">SUM(OFFSET($B$10,1,COLUMN(O4)-COLUMN($B4),ROW($B$32)-ROW($B$10)-1,1))</f>
        <v>0</v>
      </c>
    </row>
    <row r="11" spans="1:15" ht="15" customHeight="1" x14ac:dyDescent="0.35">
      <c r="A11" s="19" t="s">
        <v>212</v>
      </c>
      <c r="B11" s="9" t="str">
        <f ca="1">IF(ISNA(VLOOKUP($A11,TBAll,COLUMN(TBCY!$C$4),0))=TRUE,"error!",VLOOKUP($A11,TBAll,COLUMN(TBCY!$C$4),0))</f>
        <v>Accounting Fees</v>
      </c>
      <c r="C11" s="39">
        <f ca="1">IF(C$4&gt;'Set-up'!$B$14,0,IF(ISNA(MATCH(C$4,TBMonths,0))=TRUE,0,SUMIF(TBAll,$A11&amp;"*",OFFSET(TBCY!$C$4,1,MATCH(C$4,TBMonths,0),TBRowCount,1)))-IF(ISNA(MATCH(C$4,TBMonths,0))=TRUE,0,SUMIF(TBAll,$A11&amp;"*",OFFSET(TBCY!$C$4,1,MATCH(C$4,TBMonths,0)-1,TBRowCount,1))))</f>
        <v>0</v>
      </c>
      <c r="D11" s="39">
        <f ca="1">IF(D$4&gt;'Set-up'!$B$14,0,IF(ISNA(MATCH(D$4,TBMonths,0))=TRUE,0,SUMIF(TBAll,$A11&amp;"*",OFFSET(TBCY!$C$4,1,MATCH(D$4,TBMonths,0),TBRowCount,1)))-IF(ISNA(MATCH(D$4,TBMonths,0))=TRUE,0,SUMIF(TBAll,$A11&amp;"*",OFFSET(TBCY!$C$4,1,MATCH(D$4,TBMonths,0)-1,TBRowCount,1))))</f>
        <v>0</v>
      </c>
      <c r="E11" s="39">
        <f ca="1">IF(E$4&gt;'Set-up'!$B$14,0,IF(ISNA(MATCH(E$4,TBMonths,0))=TRUE,0,SUMIF(TBAll,$A11&amp;"*",OFFSET(TBCY!$C$4,1,MATCH(E$4,TBMonths,0),TBRowCount,1)))-IF(ISNA(MATCH(E$4,TBMonths,0))=TRUE,0,SUMIF(TBAll,$A11&amp;"*",OFFSET(TBCY!$C$4,1,MATCH(E$4,TBMonths,0)-1,TBRowCount,1))))</f>
        <v>0</v>
      </c>
      <c r="F11" s="39">
        <f ca="1">IF(F$4&gt;'Set-up'!$B$14,0,IF(ISNA(MATCH(F$4,TBMonths,0))=TRUE,0,SUMIF(TBAll,$A11&amp;"*",OFFSET(TBCY!$C$4,1,MATCH(F$4,TBMonths,0),TBRowCount,1)))-IF(ISNA(MATCH(F$4,TBMonths,0))=TRUE,0,SUMIF(TBAll,$A11&amp;"*",OFFSET(TBCY!$C$4,1,MATCH(F$4,TBMonths,0)-1,TBRowCount,1))))</f>
        <v>0</v>
      </c>
      <c r="G11" s="39">
        <f ca="1">IF(G$4&gt;'Set-up'!$B$14,0,IF(ISNA(MATCH(G$4,TBMonths,0))=TRUE,0,SUMIF(TBAll,$A11&amp;"*",OFFSET(TBCY!$C$4,1,MATCH(G$4,TBMonths,0),TBRowCount,1)))-IF(ISNA(MATCH(G$4,TBMonths,0))=TRUE,0,SUMIF(TBAll,$A11&amp;"*",OFFSET(TBCY!$C$4,1,MATCH(G$4,TBMonths,0)-1,TBRowCount,1))))</f>
        <v>0</v>
      </c>
      <c r="H11" s="39">
        <f ca="1">IF(H$4&gt;'Set-up'!$B$14,0,IF(ISNA(MATCH(H$4,TBMonths,0))=TRUE,0,SUMIF(TBAll,$A11&amp;"*",OFFSET(TBCY!$C$4,1,MATCH(H$4,TBMonths,0),TBRowCount,1)))-IF(ISNA(MATCH(H$4,TBMonths,0))=TRUE,0,SUMIF(TBAll,$A11&amp;"*",OFFSET(TBCY!$C$4,1,MATCH(H$4,TBMonths,0)-1,TBRowCount,1))))</f>
        <v>0</v>
      </c>
      <c r="I11" s="39">
        <f ca="1">IF(I$4&gt;'Set-up'!$B$14,0,IF(ISNA(MATCH(I$4,TBMonths,0))=TRUE,0,SUMIF(TBAll,$A11&amp;"*",OFFSET(TBCY!$C$4,1,MATCH(I$4,TBMonths,0),TBRowCount,1)))-IF(ISNA(MATCH(I$4,TBMonths,0))=TRUE,0,SUMIF(TBAll,$A11&amp;"*",OFFSET(TBCY!$C$4,1,MATCH(I$4,TBMonths,0)-1,TBRowCount,1))))</f>
        <v>0</v>
      </c>
      <c r="J11" s="39">
        <f ca="1">IF(J$4&gt;'Set-up'!$B$14,0,IF(ISNA(MATCH(J$4,TBMonths,0))=TRUE,0,SUMIF(TBAll,$A11&amp;"*",OFFSET(TBCY!$C$4,1,MATCH(J$4,TBMonths,0),TBRowCount,1)))-IF(ISNA(MATCH(J$4,TBMonths,0))=TRUE,0,SUMIF(TBAll,$A11&amp;"*",OFFSET(TBCY!$C$4,1,MATCH(J$4,TBMonths,0)-1,TBRowCount,1))))</f>
        <v>0</v>
      </c>
      <c r="K11" s="39">
        <f ca="1">IF(K$4&gt;'Set-up'!$B$14,0,IF(ISNA(MATCH(K$4,TBMonths,0))=TRUE,0,SUMIF(TBAll,$A11&amp;"*",OFFSET(TBCY!$C$4,1,MATCH(K$4,TBMonths,0),TBRowCount,1)))-IF(ISNA(MATCH(K$4,TBMonths,0))=TRUE,0,SUMIF(TBAll,$A11&amp;"*",OFFSET(TBCY!$C$4,1,MATCH(K$4,TBMonths,0)-1,TBRowCount,1))))</f>
        <v>0</v>
      </c>
      <c r="L11" s="39">
        <f ca="1">IF(L$4&gt;'Set-up'!$B$14,0,IF(ISNA(MATCH(L$4,TBMonths,0))=TRUE,0,SUMIF(TBAll,$A11&amp;"*",OFFSET(TBCY!$C$4,1,MATCH(L$4,TBMonths,0),TBRowCount,1)))-IF(ISNA(MATCH(L$4,TBMonths,0))=TRUE,0,SUMIF(TBAll,$A11&amp;"*",OFFSET(TBCY!$C$4,1,MATCH(L$4,TBMonths,0)-1,TBRowCount,1))))</f>
        <v>0</v>
      </c>
      <c r="M11" s="39">
        <f ca="1">IF(M$4&gt;'Set-up'!$B$14,0,IF(ISNA(MATCH(M$4,TBMonths,0))=TRUE,0,SUMIF(TBAll,$A11&amp;"*",OFFSET(TBCY!$C$4,1,MATCH(M$4,TBMonths,0),TBRowCount,1)))-IF(ISNA(MATCH(M$4,TBMonths,0))=TRUE,0,SUMIF(TBAll,$A11&amp;"*",OFFSET(TBCY!$C$4,1,MATCH(M$4,TBMonths,0)-1,TBRowCount,1))))</f>
        <v>0</v>
      </c>
      <c r="N11" s="39">
        <f ca="1">IF(N$4&gt;'Set-up'!$B$14,0,IF(ISNA(MATCH(N$4,TBMonths,0))=TRUE,0,SUMIF(TBAll,$A11&amp;"*",OFFSET(TBCY!$C$4,1,MATCH(N$4,TBMonths,0),TBRowCount,1)))-IF(ISNA(MATCH(N$4,TBMonths,0))=TRUE,0,SUMIF(TBAll,$A11&amp;"*",OFFSET(TBCY!$C$4,1,MATCH(N$4,TBMonths,0)-1,TBRowCount,1))))</f>
        <v>0</v>
      </c>
      <c r="O11" s="39">
        <f t="shared" ref="O11:O31" ca="1" si="4">SUM(C11:N11)</f>
        <v>0</v>
      </c>
    </row>
    <row r="12" spans="1:15" ht="15" customHeight="1" x14ac:dyDescent="0.35">
      <c r="A12" s="19" t="s">
        <v>218</v>
      </c>
      <c r="B12" s="9" t="str">
        <f ca="1">IF(ISNA(VLOOKUP($A12,TBAll,COLUMN(TBCY!$C$4),0))=TRUE,"error!",VLOOKUP($A12,TBAll,COLUMN(TBCY!$C$4),0))</f>
        <v>Advertising &amp; Marketing</v>
      </c>
      <c r="C12" s="40">
        <f ca="1">IF(C$4&gt;'Set-up'!$B$14,0,IF(ISNA(MATCH(C$4,TBMonths,0))=TRUE,0,SUMIF(TBAll,$A12&amp;"*",OFFSET(TBCY!$C$4,1,MATCH(C$4,TBMonths,0),TBRowCount,1)))-IF(ISNA(MATCH(C$4,TBMonths,0))=TRUE,0,SUMIF(TBAll,$A12&amp;"*",OFFSET(TBCY!$C$4,1,MATCH(C$4,TBMonths,0)-1,TBRowCount,1))))</f>
        <v>0</v>
      </c>
      <c r="D12" s="40">
        <f ca="1">IF(D$4&gt;'Set-up'!$B$14,0,IF(ISNA(MATCH(D$4,TBMonths,0))=TRUE,0,SUMIF(TBAll,$A12&amp;"*",OFFSET(TBCY!$C$4,1,MATCH(D$4,TBMonths,0),TBRowCount,1)))-IF(ISNA(MATCH(D$4,TBMonths,0))=TRUE,0,SUMIF(TBAll,$A12&amp;"*",OFFSET(TBCY!$C$4,1,MATCH(D$4,TBMonths,0)-1,TBRowCount,1))))</f>
        <v>0</v>
      </c>
      <c r="E12" s="40">
        <f ca="1">IF(E$4&gt;'Set-up'!$B$14,0,IF(ISNA(MATCH(E$4,TBMonths,0))=TRUE,0,SUMIF(TBAll,$A12&amp;"*",OFFSET(TBCY!$C$4,1,MATCH(E$4,TBMonths,0),TBRowCount,1)))-IF(ISNA(MATCH(E$4,TBMonths,0))=TRUE,0,SUMIF(TBAll,$A12&amp;"*",OFFSET(TBCY!$C$4,1,MATCH(E$4,TBMonths,0)-1,TBRowCount,1))))</f>
        <v>0</v>
      </c>
      <c r="F12" s="40">
        <f ca="1">IF(F$4&gt;'Set-up'!$B$14,0,IF(ISNA(MATCH(F$4,TBMonths,0))=TRUE,0,SUMIF(TBAll,$A12&amp;"*",OFFSET(TBCY!$C$4,1,MATCH(F$4,TBMonths,0),TBRowCount,1)))-IF(ISNA(MATCH(F$4,TBMonths,0))=TRUE,0,SUMIF(TBAll,$A12&amp;"*",OFFSET(TBCY!$C$4,1,MATCH(F$4,TBMonths,0)-1,TBRowCount,1))))</f>
        <v>0</v>
      </c>
      <c r="G12" s="40">
        <f ca="1">IF(G$4&gt;'Set-up'!$B$14,0,IF(ISNA(MATCH(G$4,TBMonths,0))=TRUE,0,SUMIF(TBAll,$A12&amp;"*",OFFSET(TBCY!$C$4,1,MATCH(G$4,TBMonths,0),TBRowCount,1)))-IF(ISNA(MATCH(G$4,TBMonths,0))=TRUE,0,SUMIF(TBAll,$A12&amp;"*",OFFSET(TBCY!$C$4,1,MATCH(G$4,TBMonths,0)-1,TBRowCount,1))))</f>
        <v>0</v>
      </c>
      <c r="H12" s="40">
        <f ca="1">IF(H$4&gt;'Set-up'!$B$14,0,IF(ISNA(MATCH(H$4,TBMonths,0))=TRUE,0,SUMIF(TBAll,$A12&amp;"*",OFFSET(TBCY!$C$4,1,MATCH(H$4,TBMonths,0),TBRowCount,1)))-IF(ISNA(MATCH(H$4,TBMonths,0))=TRUE,0,SUMIF(TBAll,$A12&amp;"*",OFFSET(TBCY!$C$4,1,MATCH(H$4,TBMonths,0)-1,TBRowCount,1))))</f>
        <v>0</v>
      </c>
      <c r="I12" s="40">
        <f ca="1">IF(I$4&gt;'Set-up'!$B$14,0,IF(ISNA(MATCH(I$4,TBMonths,0))=TRUE,0,SUMIF(TBAll,$A12&amp;"*",OFFSET(TBCY!$C$4,1,MATCH(I$4,TBMonths,0),TBRowCount,1)))-IF(ISNA(MATCH(I$4,TBMonths,0))=TRUE,0,SUMIF(TBAll,$A12&amp;"*",OFFSET(TBCY!$C$4,1,MATCH(I$4,TBMonths,0)-1,TBRowCount,1))))</f>
        <v>0</v>
      </c>
      <c r="J12" s="40">
        <f ca="1">IF(J$4&gt;'Set-up'!$B$14,0,IF(ISNA(MATCH(J$4,TBMonths,0))=TRUE,0,SUMIF(TBAll,$A12&amp;"*",OFFSET(TBCY!$C$4,1,MATCH(J$4,TBMonths,0),TBRowCount,1)))-IF(ISNA(MATCH(J$4,TBMonths,0))=TRUE,0,SUMIF(TBAll,$A12&amp;"*",OFFSET(TBCY!$C$4,1,MATCH(J$4,TBMonths,0)-1,TBRowCount,1))))</f>
        <v>0</v>
      </c>
      <c r="K12" s="40">
        <f ca="1">IF(K$4&gt;'Set-up'!$B$14,0,IF(ISNA(MATCH(K$4,TBMonths,0))=TRUE,0,SUMIF(TBAll,$A12&amp;"*",OFFSET(TBCY!$C$4,1,MATCH(K$4,TBMonths,0),TBRowCount,1)))-IF(ISNA(MATCH(K$4,TBMonths,0))=TRUE,0,SUMIF(TBAll,$A12&amp;"*",OFFSET(TBCY!$C$4,1,MATCH(K$4,TBMonths,0)-1,TBRowCount,1))))</f>
        <v>0</v>
      </c>
      <c r="L12" s="40">
        <f ca="1">IF(L$4&gt;'Set-up'!$B$14,0,IF(ISNA(MATCH(L$4,TBMonths,0))=TRUE,0,SUMIF(TBAll,$A12&amp;"*",OFFSET(TBCY!$C$4,1,MATCH(L$4,TBMonths,0),TBRowCount,1)))-IF(ISNA(MATCH(L$4,TBMonths,0))=TRUE,0,SUMIF(TBAll,$A12&amp;"*",OFFSET(TBCY!$C$4,1,MATCH(L$4,TBMonths,0)-1,TBRowCount,1))))</f>
        <v>0</v>
      </c>
      <c r="M12" s="40">
        <f ca="1">IF(M$4&gt;'Set-up'!$B$14,0,IF(ISNA(MATCH(M$4,TBMonths,0))=TRUE,0,SUMIF(TBAll,$A12&amp;"*",OFFSET(TBCY!$C$4,1,MATCH(M$4,TBMonths,0),TBRowCount,1)))-IF(ISNA(MATCH(M$4,TBMonths,0))=TRUE,0,SUMIF(TBAll,$A12&amp;"*",OFFSET(TBCY!$C$4,1,MATCH(M$4,TBMonths,0)-1,TBRowCount,1))))</f>
        <v>0</v>
      </c>
      <c r="N12" s="40">
        <f ca="1">IF(N$4&gt;'Set-up'!$B$14,0,IF(ISNA(MATCH(N$4,TBMonths,0))=TRUE,0,SUMIF(TBAll,$A12&amp;"*",OFFSET(TBCY!$C$4,1,MATCH(N$4,TBMonths,0),TBRowCount,1)))-IF(ISNA(MATCH(N$4,TBMonths,0))=TRUE,0,SUMIF(TBAll,$A12&amp;"*",OFFSET(TBCY!$C$4,1,MATCH(N$4,TBMonths,0)-1,TBRowCount,1))))</f>
        <v>0</v>
      </c>
      <c r="O12" s="40">
        <f t="shared" ca="1" si="4"/>
        <v>0</v>
      </c>
    </row>
    <row r="13" spans="1:15" ht="15" customHeight="1" x14ac:dyDescent="0.35">
      <c r="A13" s="19" t="s">
        <v>213</v>
      </c>
      <c r="B13" s="9" t="str">
        <f ca="1">IF(ISNA(VLOOKUP($A13,TBAll,COLUMN(TBCY!$C$4),0))=TRUE,"error!",VLOOKUP($A13,TBAll,COLUMN(TBCY!$C$4),0))</f>
        <v>Bank Charges</v>
      </c>
      <c r="C13" s="40">
        <f ca="1">IF(C$4&gt;'Set-up'!$B$14,0,IF(ISNA(MATCH(C$4,TBMonths,0))=TRUE,0,SUMIF(TBAll,$A13&amp;"*",OFFSET(TBCY!$C$4,1,MATCH(C$4,TBMonths,0),TBRowCount,1)))-IF(ISNA(MATCH(C$4,TBMonths,0))=TRUE,0,SUMIF(TBAll,$A13&amp;"*",OFFSET(TBCY!$C$4,1,MATCH(C$4,TBMonths,0)-1,TBRowCount,1))))</f>
        <v>0</v>
      </c>
      <c r="D13" s="40">
        <f ca="1">IF(D$4&gt;'Set-up'!$B$14,0,IF(ISNA(MATCH(D$4,TBMonths,0))=TRUE,0,SUMIF(TBAll,$A13&amp;"*",OFFSET(TBCY!$C$4,1,MATCH(D$4,TBMonths,0),TBRowCount,1)))-IF(ISNA(MATCH(D$4,TBMonths,0))=TRUE,0,SUMIF(TBAll,$A13&amp;"*",OFFSET(TBCY!$C$4,1,MATCH(D$4,TBMonths,0)-1,TBRowCount,1))))</f>
        <v>0</v>
      </c>
      <c r="E13" s="40">
        <f ca="1">IF(E$4&gt;'Set-up'!$B$14,0,IF(ISNA(MATCH(E$4,TBMonths,0))=TRUE,0,SUMIF(TBAll,$A13&amp;"*",OFFSET(TBCY!$C$4,1,MATCH(E$4,TBMonths,0),TBRowCount,1)))-IF(ISNA(MATCH(E$4,TBMonths,0))=TRUE,0,SUMIF(TBAll,$A13&amp;"*",OFFSET(TBCY!$C$4,1,MATCH(E$4,TBMonths,0)-1,TBRowCount,1))))</f>
        <v>0</v>
      </c>
      <c r="F13" s="40">
        <f ca="1">IF(F$4&gt;'Set-up'!$B$14,0,IF(ISNA(MATCH(F$4,TBMonths,0))=TRUE,0,SUMIF(TBAll,$A13&amp;"*",OFFSET(TBCY!$C$4,1,MATCH(F$4,TBMonths,0),TBRowCount,1)))-IF(ISNA(MATCH(F$4,TBMonths,0))=TRUE,0,SUMIF(TBAll,$A13&amp;"*",OFFSET(TBCY!$C$4,1,MATCH(F$4,TBMonths,0)-1,TBRowCount,1))))</f>
        <v>0</v>
      </c>
      <c r="G13" s="40">
        <f ca="1">IF(G$4&gt;'Set-up'!$B$14,0,IF(ISNA(MATCH(G$4,TBMonths,0))=TRUE,0,SUMIF(TBAll,$A13&amp;"*",OFFSET(TBCY!$C$4,1,MATCH(G$4,TBMonths,0),TBRowCount,1)))-IF(ISNA(MATCH(G$4,TBMonths,0))=TRUE,0,SUMIF(TBAll,$A13&amp;"*",OFFSET(TBCY!$C$4,1,MATCH(G$4,TBMonths,0)-1,TBRowCount,1))))</f>
        <v>0</v>
      </c>
      <c r="H13" s="40">
        <f ca="1">IF(H$4&gt;'Set-up'!$B$14,0,IF(ISNA(MATCH(H$4,TBMonths,0))=TRUE,0,SUMIF(TBAll,$A13&amp;"*",OFFSET(TBCY!$C$4,1,MATCH(H$4,TBMonths,0),TBRowCount,1)))-IF(ISNA(MATCH(H$4,TBMonths,0))=TRUE,0,SUMIF(TBAll,$A13&amp;"*",OFFSET(TBCY!$C$4,1,MATCH(H$4,TBMonths,0)-1,TBRowCount,1))))</f>
        <v>0</v>
      </c>
      <c r="I13" s="40">
        <f ca="1">IF(I$4&gt;'Set-up'!$B$14,0,IF(ISNA(MATCH(I$4,TBMonths,0))=TRUE,0,SUMIF(TBAll,$A13&amp;"*",OFFSET(TBCY!$C$4,1,MATCH(I$4,TBMonths,0),TBRowCount,1)))-IF(ISNA(MATCH(I$4,TBMonths,0))=TRUE,0,SUMIF(TBAll,$A13&amp;"*",OFFSET(TBCY!$C$4,1,MATCH(I$4,TBMonths,0)-1,TBRowCount,1))))</f>
        <v>0</v>
      </c>
      <c r="J13" s="40">
        <f ca="1">IF(J$4&gt;'Set-up'!$B$14,0,IF(ISNA(MATCH(J$4,TBMonths,0))=TRUE,0,SUMIF(TBAll,$A13&amp;"*",OFFSET(TBCY!$C$4,1,MATCH(J$4,TBMonths,0),TBRowCount,1)))-IF(ISNA(MATCH(J$4,TBMonths,0))=TRUE,0,SUMIF(TBAll,$A13&amp;"*",OFFSET(TBCY!$C$4,1,MATCH(J$4,TBMonths,0)-1,TBRowCount,1))))</f>
        <v>0</v>
      </c>
      <c r="K13" s="40">
        <f ca="1">IF(K$4&gt;'Set-up'!$B$14,0,IF(ISNA(MATCH(K$4,TBMonths,0))=TRUE,0,SUMIF(TBAll,$A13&amp;"*",OFFSET(TBCY!$C$4,1,MATCH(K$4,TBMonths,0),TBRowCount,1)))-IF(ISNA(MATCH(K$4,TBMonths,0))=TRUE,0,SUMIF(TBAll,$A13&amp;"*",OFFSET(TBCY!$C$4,1,MATCH(K$4,TBMonths,0)-1,TBRowCount,1))))</f>
        <v>0</v>
      </c>
      <c r="L13" s="40">
        <f ca="1">IF(L$4&gt;'Set-up'!$B$14,0,IF(ISNA(MATCH(L$4,TBMonths,0))=TRUE,0,SUMIF(TBAll,$A13&amp;"*",OFFSET(TBCY!$C$4,1,MATCH(L$4,TBMonths,0),TBRowCount,1)))-IF(ISNA(MATCH(L$4,TBMonths,0))=TRUE,0,SUMIF(TBAll,$A13&amp;"*",OFFSET(TBCY!$C$4,1,MATCH(L$4,TBMonths,0)-1,TBRowCount,1))))</f>
        <v>0</v>
      </c>
      <c r="M13" s="40">
        <f ca="1">IF(M$4&gt;'Set-up'!$B$14,0,IF(ISNA(MATCH(M$4,TBMonths,0))=TRUE,0,SUMIF(TBAll,$A13&amp;"*",OFFSET(TBCY!$C$4,1,MATCH(M$4,TBMonths,0),TBRowCount,1)))-IF(ISNA(MATCH(M$4,TBMonths,0))=TRUE,0,SUMIF(TBAll,$A13&amp;"*",OFFSET(TBCY!$C$4,1,MATCH(M$4,TBMonths,0)-1,TBRowCount,1))))</f>
        <v>0</v>
      </c>
      <c r="N13" s="40">
        <f ca="1">IF(N$4&gt;'Set-up'!$B$14,0,IF(ISNA(MATCH(N$4,TBMonths,0))=TRUE,0,SUMIF(TBAll,$A13&amp;"*",OFFSET(TBCY!$C$4,1,MATCH(N$4,TBMonths,0),TBRowCount,1)))-IF(ISNA(MATCH(N$4,TBMonths,0))=TRUE,0,SUMIF(TBAll,$A13&amp;"*",OFFSET(TBCY!$C$4,1,MATCH(N$4,TBMonths,0)-1,TBRowCount,1))))</f>
        <v>0</v>
      </c>
      <c r="O13" s="40">
        <f t="shared" ca="1" si="4"/>
        <v>0</v>
      </c>
    </row>
    <row r="14" spans="1:15" ht="15" customHeight="1" x14ac:dyDescent="0.35">
      <c r="A14" s="19" t="s">
        <v>214</v>
      </c>
      <c r="B14" s="9" t="str">
        <f ca="1">IF(ISNA(VLOOKUP($A14,TBAll,COLUMN(TBCY!$C$4),0))=TRUE,"error!",VLOOKUP($A14,TBAll,COLUMN(TBCY!$C$4),0))</f>
        <v>Commission</v>
      </c>
      <c r="C14" s="40">
        <f ca="1">IF(C$4&gt;'Set-up'!$B$14,0,IF(ISNA(MATCH(C$4,TBMonths,0))=TRUE,0,SUMIF(TBAll,$A14&amp;"*",OFFSET(TBCY!$C$4,1,MATCH(C$4,TBMonths,0),TBRowCount,1)))-IF(ISNA(MATCH(C$4,TBMonths,0))=TRUE,0,SUMIF(TBAll,$A14&amp;"*",OFFSET(TBCY!$C$4,1,MATCH(C$4,TBMonths,0)-1,TBRowCount,1))))</f>
        <v>0</v>
      </c>
      <c r="D14" s="40">
        <f ca="1">IF(D$4&gt;'Set-up'!$B$14,0,IF(ISNA(MATCH(D$4,TBMonths,0))=TRUE,0,SUMIF(TBAll,$A14&amp;"*",OFFSET(TBCY!$C$4,1,MATCH(D$4,TBMonths,0),TBRowCount,1)))-IF(ISNA(MATCH(D$4,TBMonths,0))=TRUE,0,SUMIF(TBAll,$A14&amp;"*",OFFSET(TBCY!$C$4,1,MATCH(D$4,TBMonths,0)-1,TBRowCount,1))))</f>
        <v>0</v>
      </c>
      <c r="E14" s="40">
        <f ca="1">IF(E$4&gt;'Set-up'!$B$14,0,IF(ISNA(MATCH(E$4,TBMonths,0))=TRUE,0,SUMIF(TBAll,$A14&amp;"*",OFFSET(TBCY!$C$4,1,MATCH(E$4,TBMonths,0),TBRowCount,1)))-IF(ISNA(MATCH(E$4,TBMonths,0))=TRUE,0,SUMIF(TBAll,$A14&amp;"*",OFFSET(TBCY!$C$4,1,MATCH(E$4,TBMonths,0)-1,TBRowCount,1))))</f>
        <v>0</v>
      </c>
      <c r="F14" s="40">
        <f ca="1">IF(F$4&gt;'Set-up'!$B$14,0,IF(ISNA(MATCH(F$4,TBMonths,0))=TRUE,0,SUMIF(TBAll,$A14&amp;"*",OFFSET(TBCY!$C$4,1,MATCH(F$4,TBMonths,0),TBRowCount,1)))-IF(ISNA(MATCH(F$4,TBMonths,0))=TRUE,0,SUMIF(TBAll,$A14&amp;"*",OFFSET(TBCY!$C$4,1,MATCH(F$4,TBMonths,0)-1,TBRowCount,1))))</f>
        <v>0</v>
      </c>
      <c r="G14" s="40">
        <f ca="1">IF(G$4&gt;'Set-up'!$B$14,0,IF(ISNA(MATCH(G$4,TBMonths,0))=TRUE,0,SUMIF(TBAll,$A14&amp;"*",OFFSET(TBCY!$C$4,1,MATCH(G$4,TBMonths,0),TBRowCount,1)))-IF(ISNA(MATCH(G$4,TBMonths,0))=TRUE,0,SUMIF(TBAll,$A14&amp;"*",OFFSET(TBCY!$C$4,1,MATCH(G$4,TBMonths,0)-1,TBRowCount,1))))</f>
        <v>0</v>
      </c>
      <c r="H14" s="40">
        <f ca="1">IF(H$4&gt;'Set-up'!$B$14,0,IF(ISNA(MATCH(H$4,TBMonths,0))=TRUE,0,SUMIF(TBAll,$A14&amp;"*",OFFSET(TBCY!$C$4,1,MATCH(H$4,TBMonths,0),TBRowCount,1)))-IF(ISNA(MATCH(H$4,TBMonths,0))=TRUE,0,SUMIF(TBAll,$A14&amp;"*",OFFSET(TBCY!$C$4,1,MATCH(H$4,TBMonths,0)-1,TBRowCount,1))))</f>
        <v>0</v>
      </c>
      <c r="I14" s="40">
        <f ca="1">IF(I$4&gt;'Set-up'!$B$14,0,IF(ISNA(MATCH(I$4,TBMonths,0))=TRUE,0,SUMIF(TBAll,$A14&amp;"*",OFFSET(TBCY!$C$4,1,MATCH(I$4,TBMonths,0),TBRowCount,1)))-IF(ISNA(MATCH(I$4,TBMonths,0))=TRUE,0,SUMIF(TBAll,$A14&amp;"*",OFFSET(TBCY!$C$4,1,MATCH(I$4,TBMonths,0)-1,TBRowCount,1))))</f>
        <v>0</v>
      </c>
      <c r="J14" s="40">
        <f ca="1">IF(J$4&gt;'Set-up'!$B$14,0,IF(ISNA(MATCH(J$4,TBMonths,0))=TRUE,0,SUMIF(TBAll,$A14&amp;"*",OFFSET(TBCY!$C$4,1,MATCH(J$4,TBMonths,0),TBRowCount,1)))-IF(ISNA(MATCH(J$4,TBMonths,0))=TRUE,0,SUMIF(TBAll,$A14&amp;"*",OFFSET(TBCY!$C$4,1,MATCH(J$4,TBMonths,0)-1,TBRowCount,1))))</f>
        <v>0</v>
      </c>
      <c r="K14" s="40">
        <f ca="1">IF(K$4&gt;'Set-up'!$B$14,0,IF(ISNA(MATCH(K$4,TBMonths,0))=TRUE,0,SUMIF(TBAll,$A14&amp;"*",OFFSET(TBCY!$C$4,1,MATCH(K$4,TBMonths,0),TBRowCount,1)))-IF(ISNA(MATCH(K$4,TBMonths,0))=TRUE,0,SUMIF(TBAll,$A14&amp;"*",OFFSET(TBCY!$C$4,1,MATCH(K$4,TBMonths,0)-1,TBRowCount,1))))</f>
        <v>0</v>
      </c>
      <c r="L14" s="40">
        <f ca="1">IF(L$4&gt;'Set-up'!$B$14,0,IF(ISNA(MATCH(L$4,TBMonths,0))=TRUE,0,SUMIF(TBAll,$A14&amp;"*",OFFSET(TBCY!$C$4,1,MATCH(L$4,TBMonths,0),TBRowCount,1)))-IF(ISNA(MATCH(L$4,TBMonths,0))=TRUE,0,SUMIF(TBAll,$A14&amp;"*",OFFSET(TBCY!$C$4,1,MATCH(L$4,TBMonths,0)-1,TBRowCount,1))))</f>
        <v>0</v>
      </c>
      <c r="M14" s="40">
        <f ca="1">IF(M$4&gt;'Set-up'!$B$14,0,IF(ISNA(MATCH(M$4,TBMonths,0))=TRUE,0,SUMIF(TBAll,$A14&amp;"*",OFFSET(TBCY!$C$4,1,MATCH(M$4,TBMonths,0),TBRowCount,1)))-IF(ISNA(MATCH(M$4,TBMonths,0))=TRUE,0,SUMIF(TBAll,$A14&amp;"*",OFFSET(TBCY!$C$4,1,MATCH(M$4,TBMonths,0)-1,TBRowCount,1))))</f>
        <v>0</v>
      </c>
      <c r="N14" s="40">
        <f ca="1">IF(N$4&gt;'Set-up'!$B$14,0,IF(ISNA(MATCH(N$4,TBMonths,0))=TRUE,0,SUMIF(TBAll,$A14&amp;"*",OFFSET(TBCY!$C$4,1,MATCH(N$4,TBMonths,0),TBRowCount,1)))-IF(ISNA(MATCH(N$4,TBMonths,0))=TRUE,0,SUMIF(TBAll,$A14&amp;"*",OFFSET(TBCY!$C$4,1,MATCH(N$4,TBMonths,0)-1,TBRowCount,1))))</f>
        <v>0</v>
      </c>
      <c r="O14" s="40">
        <f t="shared" ca="1" si="4"/>
        <v>0</v>
      </c>
    </row>
    <row r="15" spans="1:15" ht="15" customHeight="1" x14ac:dyDescent="0.35">
      <c r="A15" s="19" t="s">
        <v>215</v>
      </c>
      <c r="B15" s="9" t="str">
        <f ca="1">IF(ISNA(VLOOKUP($A15,TBAll,COLUMN(TBCY!$C$4),0))=TRUE,"error!",VLOOKUP($A15,TBAll,COLUMN(TBCY!$C$4),0))</f>
        <v>Computer Expenses</v>
      </c>
      <c r="C15" s="40">
        <f ca="1">IF(C$4&gt;'Set-up'!$B$14,0,IF(ISNA(MATCH(C$4,TBMonths,0))=TRUE,0,SUMIF(TBAll,$A15&amp;"*",OFFSET(TBCY!$C$4,1,MATCH(C$4,TBMonths,0),TBRowCount,1)))-IF(ISNA(MATCH(C$4,TBMonths,0))=TRUE,0,SUMIF(TBAll,$A15&amp;"*",OFFSET(TBCY!$C$4,1,MATCH(C$4,TBMonths,0)-1,TBRowCount,1))))</f>
        <v>0</v>
      </c>
      <c r="D15" s="40">
        <f ca="1">IF(D$4&gt;'Set-up'!$B$14,0,IF(ISNA(MATCH(D$4,TBMonths,0))=TRUE,0,SUMIF(TBAll,$A15&amp;"*",OFFSET(TBCY!$C$4,1,MATCH(D$4,TBMonths,0),TBRowCount,1)))-IF(ISNA(MATCH(D$4,TBMonths,0))=TRUE,0,SUMIF(TBAll,$A15&amp;"*",OFFSET(TBCY!$C$4,1,MATCH(D$4,TBMonths,0)-1,TBRowCount,1))))</f>
        <v>0</v>
      </c>
      <c r="E15" s="40">
        <f ca="1">IF(E$4&gt;'Set-up'!$B$14,0,IF(ISNA(MATCH(E$4,TBMonths,0))=TRUE,0,SUMIF(TBAll,$A15&amp;"*",OFFSET(TBCY!$C$4,1,MATCH(E$4,TBMonths,0),TBRowCount,1)))-IF(ISNA(MATCH(E$4,TBMonths,0))=TRUE,0,SUMIF(TBAll,$A15&amp;"*",OFFSET(TBCY!$C$4,1,MATCH(E$4,TBMonths,0)-1,TBRowCount,1))))</f>
        <v>0</v>
      </c>
      <c r="F15" s="40">
        <f ca="1">IF(F$4&gt;'Set-up'!$B$14,0,IF(ISNA(MATCH(F$4,TBMonths,0))=TRUE,0,SUMIF(TBAll,$A15&amp;"*",OFFSET(TBCY!$C$4,1,MATCH(F$4,TBMonths,0),TBRowCount,1)))-IF(ISNA(MATCH(F$4,TBMonths,0))=TRUE,0,SUMIF(TBAll,$A15&amp;"*",OFFSET(TBCY!$C$4,1,MATCH(F$4,TBMonths,0)-1,TBRowCount,1))))</f>
        <v>0</v>
      </c>
      <c r="G15" s="40">
        <f ca="1">IF(G$4&gt;'Set-up'!$B$14,0,IF(ISNA(MATCH(G$4,TBMonths,0))=TRUE,0,SUMIF(TBAll,$A15&amp;"*",OFFSET(TBCY!$C$4,1,MATCH(G$4,TBMonths,0),TBRowCount,1)))-IF(ISNA(MATCH(G$4,TBMonths,0))=TRUE,0,SUMIF(TBAll,$A15&amp;"*",OFFSET(TBCY!$C$4,1,MATCH(G$4,TBMonths,0)-1,TBRowCount,1))))</f>
        <v>0</v>
      </c>
      <c r="H15" s="40">
        <f ca="1">IF(H$4&gt;'Set-up'!$B$14,0,IF(ISNA(MATCH(H$4,TBMonths,0))=TRUE,0,SUMIF(TBAll,$A15&amp;"*",OFFSET(TBCY!$C$4,1,MATCH(H$4,TBMonths,0),TBRowCount,1)))-IF(ISNA(MATCH(H$4,TBMonths,0))=TRUE,0,SUMIF(TBAll,$A15&amp;"*",OFFSET(TBCY!$C$4,1,MATCH(H$4,TBMonths,0)-1,TBRowCount,1))))</f>
        <v>0</v>
      </c>
      <c r="I15" s="40">
        <f ca="1">IF(I$4&gt;'Set-up'!$B$14,0,IF(ISNA(MATCH(I$4,TBMonths,0))=TRUE,0,SUMIF(TBAll,$A15&amp;"*",OFFSET(TBCY!$C$4,1,MATCH(I$4,TBMonths,0),TBRowCount,1)))-IF(ISNA(MATCH(I$4,TBMonths,0))=TRUE,0,SUMIF(TBAll,$A15&amp;"*",OFFSET(TBCY!$C$4,1,MATCH(I$4,TBMonths,0)-1,TBRowCount,1))))</f>
        <v>0</v>
      </c>
      <c r="J15" s="40">
        <f ca="1">IF(J$4&gt;'Set-up'!$B$14,0,IF(ISNA(MATCH(J$4,TBMonths,0))=TRUE,0,SUMIF(TBAll,$A15&amp;"*",OFFSET(TBCY!$C$4,1,MATCH(J$4,TBMonths,0),TBRowCount,1)))-IF(ISNA(MATCH(J$4,TBMonths,0))=TRUE,0,SUMIF(TBAll,$A15&amp;"*",OFFSET(TBCY!$C$4,1,MATCH(J$4,TBMonths,0)-1,TBRowCount,1))))</f>
        <v>0</v>
      </c>
      <c r="K15" s="40">
        <f ca="1">IF(K$4&gt;'Set-up'!$B$14,0,IF(ISNA(MATCH(K$4,TBMonths,0))=TRUE,0,SUMIF(TBAll,$A15&amp;"*",OFFSET(TBCY!$C$4,1,MATCH(K$4,TBMonths,0),TBRowCount,1)))-IF(ISNA(MATCH(K$4,TBMonths,0))=TRUE,0,SUMIF(TBAll,$A15&amp;"*",OFFSET(TBCY!$C$4,1,MATCH(K$4,TBMonths,0)-1,TBRowCount,1))))</f>
        <v>0</v>
      </c>
      <c r="L15" s="40">
        <f ca="1">IF(L$4&gt;'Set-up'!$B$14,0,IF(ISNA(MATCH(L$4,TBMonths,0))=TRUE,0,SUMIF(TBAll,$A15&amp;"*",OFFSET(TBCY!$C$4,1,MATCH(L$4,TBMonths,0),TBRowCount,1)))-IF(ISNA(MATCH(L$4,TBMonths,0))=TRUE,0,SUMIF(TBAll,$A15&amp;"*",OFFSET(TBCY!$C$4,1,MATCH(L$4,TBMonths,0)-1,TBRowCount,1))))</f>
        <v>0</v>
      </c>
      <c r="M15" s="40">
        <f ca="1">IF(M$4&gt;'Set-up'!$B$14,0,IF(ISNA(MATCH(M$4,TBMonths,0))=TRUE,0,SUMIF(TBAll,$A15&amp;"*",OFFSET(TBCY!$C$4,1,MATCH(M$4,TBMonths,0),TBRowCount,1)))-IF(ISNA(MATCH(M$4,TBMonths,0))=TRUE,0,SUMIF(TBAll,$A15&amp;"*",OFFSET(TBCY!$C$4,1,MATCH(M$4,TBMonths,0)-1,TBRowCount,1))))</f>
        <v>0</v>
      </c>
      <c r="N15" s="40">
        <f ca="1">IF(N$4&gt;'Set-up'!$B$14,0,IF(ISNA(MATCH(N$4,TBMonths,0))=TRUE,0,SUMIF(TBAll,$A15&amp;"*",OFFSET(TBCY!$C$4,1,MATCH(N$4,TBMonths,0),TBRowCount,1)))-IF(ISNA(MATCH(N$4,TBMonths,0))=TRUE,0,SUMIF(TBAll,$A15&amp;"*",OFFSET(TBCY!$C$4,1,MATCH(N$4,TBMonths,0)-1,TBRowCount,1))))</f>
        <v>0</v>
      </c>
      <c r="O15" s="40">
        <f t="shared" ca="1" si="4"/>
        <v>0</v>
      </c>
    </row>
    <row r="16" spans="1:15" ht="15" customHeight="1" x14ac:dyDescent="0.35">
      <c r="A16" s="19" t="s">
        <v>216</v>
      </c>
      <c r="B16" s="9" t="str">
        <f ca="1">IF(ISNA(VLOOKUP($A16,TBAll,COLUMN(TBCY!$C$4),0))=TRUE,"error!",VLOOKUP($A16,TBAll,COLUMN(TBCY!$C$4),0))</f>
        <v>Consumables &amp; Cleaning</v>
      </c>
      <c r="C16" s="40">
        <f ca="1">IF(C$4&gt;'Set-up'!$B$14,0,IF(ISNA(MATCH(C$4,TBMonths,0))=TRUE,0,SUMIF(TBAll,$A16&amp;"*",OFFSET(TBCY!$C$4,1,MATCH(C$4,TBMonths,0),TBRowCount,1)))-IF(ISNA(MATCH(C$4,TBMonths,0))=TRUE,0,SUMIF(TBAll,$A16&amp;"*",OFFSET(TBCY!$C$4,1,MATCH(C$4,TBMonths,0)-1,TBRowCount,1))))</f>
        <v>0</v>
      </c>
      <c r="D16" s="40">
        <f ca="1">IF(D$4&gt;'Set-up'!$B$14,0,IF(ISNA(MATCH(D$4,TBMonths,0))=TRUE,0,SUMIF(TBAll,$A16&amp;"*",OFFSET(TBCY!$C$4,1,MATCH(D$4,TBMonths,0),TBRowCount,1)))-IF(ISNA(MATCH(D$4,TBMonths,0))=TRUE,0,SUMIF(TBAll,$A16&amp;"*",OFFSET(TBCY!$C$4,1,MATCH(D$4,TBMonths,0)-1,TBRowCount,1))))</f>
        <v>0</v>
      </c>
      <c r="E16" s="40">
        <f ca="1">IF(E$4&gt;'Set-up'!$B$14,0,IF(ISNA(MATCH(E$4,TBMonths,0))=TRUE,0,SUMIF(TBAll,$A16&amp;"*",OFFSET(TBCY!$C$4,1,MATCH(E$4,TBMonths,0),TBRowCount,1)))-IF(ISNA(MATCH(E$4,TBMonths,0))=TRUE,0,SUMIF(TBAll,$A16&amp;"*",OFFSET(TBCY!$C$4,1,MATCH(E$4,TBMonths,0)-1,TBRowCount,1))))</f>
        <v>0</v>
      </c>
      <c r="F16" s="40">
        <f ca="1">IF(F$4&gt;'Set-up'!$B$14,0,IF(ISNA(MATCH(F$4,TBMonths,0))=TRUE,0,SUMIF(TBAll,$A16&amp;"*",OFFSET(TBCY!$C$4,1,MATCH(F$4,TBMonths,0),TBRowCount,1)))-IF(ISNA(MATCH(F$4,TBMonths,0))=TRUE,0,SUMIF(TBAll,$A16&amp;"*",OFFSET(TBCY!$C$4,1,MATCH(F$4,TBMonths,0)-1,TBRowCount,1))))</f>
        <v>0</v>
      </c>
      <c r="G16" s="40">
        <f ca="1">IF(G$4&gt;'Set-up'!$B$14,0,IF(ISNA(MATCH(G$4,TBMonths,0))=TRUE,0,SUMIF(TBAll,$A16&amp;"*",OFFSET(TBCY!$C$4,1,MATCH(G$4,TBMonths,0),TBRowCount,1)))-IF(ISNA(MATCH(G$4,TBMonths,0))=TRUE,0,SUMIF(TBAll,$A16&amp;"*",OFFSET(TBCY!$C$4,1,MATCH(G$4,TBMonths,0)-1,TBRowCount,1))))</f>
        <v>0</v>
      </c>
      <c r="H16" s="40">
        <f ca="1">IF(H$4&gt;'Set-up'!$B$14,0,IF(ISNA(MATCH(H$4,TBMonths,0))=TRUE,0,SUMIF(TBAll,$A16&amp;"*",OFFSET(TBCY!$C$4,1,MATCH(H$4,TBMonths,0),TBRowCount,1)))-IF(ISNA(MATCH(H$4,TBMonths,0))=TRUE,0,SUMIF(TBAll,$A16&amp;"*",OFFSET(TBCY!$C$4,1,MATCH(H$4,TBMonths,0)-1,TBRowCount,1))))</f>
        <v>0</v>
      </c>
      <c r="I16" s="40">
        <f ca="1">IF(I$4&gt;'Set-up'!$B$14,0,IF(ISNA(MATCH(I$4,TBMonths,0))=TRUE,0,SUMIF(TBAll,$A16&amp;"*",OFFSET(TBCY!$C$4,1,MATCH(I$4,TBMonths,0),TBRowCount,1)))-IF(ISNA(MATCH(I$4,TBMonths,0))=TRUE,0,SUMIF(TBAll,$A16&amp;"*",OFFSET(TBCY!$C$4,1,MATCH(I$4,TBMonths,0)-1,TBRowCount,1))))</f>
        <v>0</v>
      </c>
      <c r="J16" s="40">
        <f ca="1">IF(J$4&gt;'Set-up'!$B$14,0,IF(ISNA(MATCH(J$4,TBMonths,0))=TRUE,0,SUMIF(TBAll,$A16&amp;"*",OFFSET(TBCY!$C$4,1,MATCH(J$4,TBMonths,0),TBRowCount,1)))-IF(ISNA(MATCH(J$4,TBMonths,0))=TRUE,0,SUMIF(TBAll,$A16&amp;"*",OFFSET(TBCY!$C$4,1,MATCH(J$4,TBMonths,0)-1,TBRowCount,1))))</f>
        <v>0</v>
      </c>
      <c r="K16" s="40">
        <f ca="1">IF(K$4&gt;'Set-up'!$B$14,0,IF(ISNA(MATCH(K$4,TBMonths,0))=TRUE,0,SUMIF(TBAll,$A16&amp;"*",OFFSET(TBCY!$C$4,1,MATCH(K$4,TBMonths,0),TBRowCount,1)))-IF(ISNA(MATCH(K$4,TBMonths,0))=TRUE,0,SUMIF(TBAll,$A16&amp;"*",OFFSET(TBCY!$C$4,1,MATCH(K$4,TBMonths,0)-1,TBRowCount,1))))</f>
        <v>0</v>
      </c>
      <c r="L16" s="40">
        <f ca="1">IF(L$4&gt;'Set-up'!$B$14,0,IF(ISNA(MATCH(L$4,TBMonths,0))=TRUE,0,SUMIF(TBAll,$A16&amp;"*",OFFSET(TBCY!$C$4,1,MATCH(L$4,TBMonths,0),TBRowCount,1)))-IF(ISNA(MATCH(L$4,TBMonths,0))=TRUE,0,SUMIF(TBAll,$A16&amp;"*",OFFSET(TBCY!$C$4,1,MATCH(L$4,TBMonths,0)-1,TBRowCount,1))))</f>
        <v>0</v>
      </c>
      <c r="M16" s="40">
        <f ca="1">IF(M$4&gt;'Set-up'!$B$14,0,IF(ISNA(MATCH(M$4,TBMonths,0))=TRUE,0,SUMIF(TBAll,$A16&amp;"*",OFFSET(TBCY!$C$4,1,MATCH(M$4,TBMonths,0),TBRowCount,1)))-IF(ISNA(MATCH(M$4,TBMonths,0))=TRUE,0,SUMIF(TBAll,$A16&amp;"*",OFFSET(TBCY!$C$4,1,MATCH(M$4,TBMonths,0)-1,TBRowCount,1))))</f>
        <v>0</v>
      </c>
      <c r="N16" s="40">
        <f ca="1">IF(N$4&gt;'Set-up'!$B$14,0,IF(ISNA(MATCH(N$4,TBMonths,0))=TRUE,0,SUMIF(TBAll,$A16&amp;"*",OFFSET(TBCY!$C$4,1,MATCH(N$4,TBMonths,0),TBRowCount,1)))-IF(ISNA(MATCH(N$4,TBMonths,0))=TRUE,0,SUMIF(TBAll,$A16&amp;"*",OFFSET(TBCY!$C$4,1,MATCH(N$4,TBMonths,0)-1,TBRowCount,1))))</f>
        <v>0</v>
      </c>
      <c r="O16" s="40">
        <f t="shared" ca="1" si="4"/>
        <v>0</v>
      </c>
    </row>
    <row r="17" spans="1:15" ht="15" customHeight="1" x14ac:dyDescent="0.35">
      <c r="A17" s="19" t="s">
        <v>217</v>
      </c>
      <c r="B17" s="9" t="str">
        <f ca="1">IF(ISNA(VLOOKUP($A17,TBAll,COLUMN(TBCY!$C$4),0))=TRUE,"error!",VLOOKUP($A17,TBAll,COLUMN(TBCY!$C$4),0))</f>
        <v>Depreciation</v>
      </c>
      <c r="C17" s="40">
        <f ca="1">IF(C$4&gt;'Set-up'!$B$14,0,IF(ISNA(MATCH(C$4,TBMonths,0))=TRUE,0,SUMIF(TBAll,$A17&amp;"*",OFFSET(TBCY!$C$4,1,MATCH(C$4,TBMonths,0),TBRowCount,1)))-IF(ISNA(MATCH(C$4,TBMonths,0))=TRUE,0,SUMIF(TBAll,$A17&amp;"*",OFFSET(TBCY!$C$4,1,MATCH(C$4,TBMonths,0)-1,TBRowCount,1))))</f>
        <v>0</v>
      </c>
      <c r="D17" s="40">
        <f ca="1">IF(D$4&gt;'Set-up'!$B$14,0,IF(ISNA(MATCH(D$4,TBMonths,0))=TRUE,0,SUMIF(TBAll,$A17&amp;"*",OFFSET(TBCY!$C$4,1,MATCH(D$4,TBMonths,0),TBRowCount,1)))-IF(ISNA(MATCH(D$4,TBMonths,0))=TRUE,0,SUMIF(TBAll,$A17&amp;"*",OFFSET(TBCY!$C$4,1,MATCH(D$4,TBMonths,0)-1,TBRowCount,1))))</f>
        <v>0</v>
      </c>
      <c r="E17" s="40">
        <f ca="1">IF(E$4&gt;'Set-up'!$B$14,0,IF(ISNA(MATCH(E$4,TBMonths,0))=TRUE,0,SUMIF(TBAll,$A17&amp;"*",OFFSET(TBCY!$C$4,1,MATCH(E$4,TBMonths,0),TBRowCount,1)))-IF(ISNA(MATCH(E$4,TBMonths,0))=TRUE,0,SUMIF(TBAll,$A17&amp;"*",OFFSET(TBCY!$C$4,1,MATCH(E$4,TBMonths,0)-1,TBRowCount,1))))</f>
        <v>0</v>
      </c>
      <c r="F17" s="40">
        <f ca="1">IF(F$4&gt;'Set-up'!$B$14,0,IF(ISNA(MATCH(F$4,TBMonths,0))=TRUE,0,SUMIF(TBAll,$A17&amp;"*",OFFSET(TBCY!$C$4,1,MATCH(F$4,TBMonths,0),TBRowCount,1)))-IF(ISNA(MATCH(F$4,TBMonths,0))=TRUE,0,SUMIF(TBAll,$A17&amp;"*",OFFSET(TBCY!$C$4,1,MATCH(F$4,TBMonths,0)-1,TBRowCount,1))))</f>
        <v>0</v>
      </c>
      <c r="G17" s="40">
        <f ca="1">IF(G$4&gt;'Set-up'!$B$14,0,IF(ISNA(MATCH(G$4,TBMonths,0))=TRUE,0,SUMIF(TBAll,$A17&amp;"*",OFFSET(TBCY!$C$4,1,MATCH(G$4,TBMonths,0),TBRowCount,1)))-IF(ISNA(MATCH(G$4,TBMonths,0))=TRUE,0,SUMIF(TBAll,$A17&amp;"*",OFFSET(TBCY!$C$4,1,MATCH(G$4,TBMonths,0)-1,TBRowCount,1))))</f>
        <v>0</v>
      </c>
      <c r="H17" s="40">
        <f ca="1">IF(H$4&gt;'Set-up'!$B$14,0,IF(ISNA(MATCH(H$4,TBMonths,0))=TRUE,0,SUMIF(TBAll,$A17&amp;"*",OFFSET(TBCY!$C$4,1,MATCH(H$4,TBMonths,0),TBRowCount,1)))-IF(ISNA(MATCH(H$4,TBMonths,0))=TRUE,0,SUMIF(TBAll,$A17&amp;"*",OFFSET(TBCY!$C$4,1,MATCH(H$4,TBMonths,0)-1,TBRowCount,1))))</f>
        <v>0</v>
      </c>
      <c r="I17" s="40">
        <f ca="1">IF(I$4&gt;'Set-up'!$B$14,0,IF(ISNA(MATCH(I$4,TBMonths,0))=TRUE,0,SUMIF(TBAll,$A17&amp;"*",OFFSET(TBCY!$C$4,1,MATCH(I$4,TBMonths,0),TBRowCount,1)))-IF(ISNA(MATCH(I$4,TBMonths,0))=TRUE,0,SUMIF(TBAll,$A17&amp;"*",OFFSET(TBCY!$C$4,1,MATCH(I$4,TBMonths,0)-1,TBRowCount,1))))</f>
        <v>0</v>
      </c>
      <c r="J17" s="40">
        <f ca="1">IF(J$4&gt;'Set-up'!$B$14,0,IF(ISNA(MATCH(J$4,TBMonths,0))=TRUE,0,SUMIF(TBAll,$A17&amp;"*",OFFSET(TBCY!$C$4,1,MATCH(J$4,TBMonths,0),TBRowCount,1)))-IF(ISNA(MATCH(J$4,TBMonths,0))=TRUE,0,SUMIF(TBAll,$A17&amp;"*",OFFSET(TBCY!$C$4,1,MATCH(J$4,TBMonths,0)-1,TBRowCount,1))))</f>
        <v>0</v>
      </c>
      <c r="K17" s="40">
        <f ca="1">IF(K$4&gt;'Set-up'!$B$14,0,IF(ISNA(MATCH(K$4,TBMonths,0))=TRUE,0,SUMIF(TBAll,$A17&amp;"*",OFFSET(TBCY!$C$4,1,MATCH(K$4,TBMonths,0),TBRowCount,1)))-IF(ISNA(MATCH(K$4,TBMonths,0))=TRUE,0,SUMIF(TBAll,$A17&amp;"*",OFFSET(TBCY!$C$4,1,MATCH(K$4,TBMonths,0)-1,TBRowCount,1))))</f>
        <v>0</v>
      </c>
      <c r="L17" s="40">
        <f ca="1">IF(L$4&gt;'Set-up'!$B$14,0,IF(ISNA(MATCH(L$4,TBMonths,0))=TRUE,0,SUMIF(TBAll,$A17&amp;"*",OFFSET(TBCY!$C$4,1,MATCH(L$4,TBMonths,0),TBRowCount,1)))-IF(ISNA(MATCH(L$4,TBMonths,0))=TRUE,0,SUMIF(TBAll,$A17&amp;"*",OFFSET(TBCY!$C$4,1,MATCH(L$4,TBMonths,0)-1,TBRowCount,1))))</f>
        <v>0</v>
      </c>
      <c r="M17" s="40">
        <f ca="1">IF(M$4&gt;'Set-up'!$B$14,0,IF(ISNA(MATCH(M$4,TBMonths,0))=TRUE,0,SUMIF(TBAll,$A17&amp;"*",OFFSET(TBCY!$C$4,1,MATCH(M$4,TBMonths,0),TBRowCount,1)))-IF(ISNA(MATCH(M$4,TBMonths,0))=TRUE,0,SUMIF(TBAll,$A17&amp;"*",OFFSET(TBCY!$C$4,1,MATCH(M$4,TBMonths,0)-1,TBRowCount,1))))</f>
        <v>0</v>
      </c>
      <c r="N17" s="40">
        <f ca="1">IF(N$4&gt;'Set-up'!$B$14,0,IF(ISNA(MATCH(N$4,TBMonths,0))=TRUE,0,SUMIF(TBAll,$A17&amp;"*",OFFSET(TBCY!$C$4,1,MATCH(N$4,TBMonths,0),TBRowCount,1)))-IF(ISNA(MATCH(N$4,TBMonths,0))=TRUE,0,SUMIF(TBAll,$A17&amp;"*",OFFSET(TBCY!$C$4,1,MATCH(N$4,TBMonths,0)-1,TBRowCount,1))))</f>
        <v>0</v>
      </c>
      <c r="O17" s="40">
        <f t="shared" ca="1" si="4"/>
        <v>0</v>
      </c>
    </row>
    <row r="18" spans="1:15" ht="15" customHeight="1" x14ac:dyDescent="0.35">
      <c r="A18" s="19" t="s">
        <v>219</v>
      </c>
      <c r="B18" s="9" t="str">
        <f ca="1">IF(ISNA(VLOOKUP($A18,TBAll,COLUMN(TBCY!$C$4),0))=TRUE,"error!",VLOOKUP($A18,TBAll,COLUMN(TBCY!$C$4),0))</f>
        <v>Entertainment</v>
      </c>
      <c r="C18" s="40">
        <f ca="1">IF(C$4&gt;'Set-up'!$B$14,0,IF(ISNA(MATCH(C$4,TBMonths,0))=TRUE,0,SUMIF(TBAll,$A18&amp;"*",OFFSET(TBCY!$C$4,1,MATCH(C$4,TBMonths,0),TBRowCount,1)))-IF(ISNA(MATCH(C$4,TBMonths,0))=TRUE,0,SUMIF(TBAll,$A18&amp;"*",OFFSET(TBCY!$C$4,1,MATCH(C$4,TBMonths,0)-1,TBRowCount,1))))</f>
        <v>0</v>
      </c>
      <c r="D18" s="40">
        <f ca="1">IF(D$4&gt;'Set-up'!$B$14,0,IF(ISNA(MATCH(D$4,TBMonths,0))=TRUE,0,SUMIF(TBAll,$A18&amp;"*",OFFSET(TBCY!$C$4,1,MATCH(D$4,TBMonths,0),TBRowCount,1)))-IF(ISNA(MATCH(D$4,TBMonths,0))=TRUE,0,SUMIF(TBAll,$A18&amp;"*",OFFSET(TBCY!$C$4,1,MATCH(D$4,TBMonths,0)-1,TBRowCount,1))))</f>
        <v>0</v>
      </c>
      <c r="E18" s="40">
        <f ca="1">IF(E$4&gt;'Set-up'!$B$14,0,IF(ISNA(MATCH(E$4,TBMonths,0))=TRUE,0,SUMIF(TBAll,$A18&amp;"*",OFFSET(TBCY!$C$4,1,MATCH(E$4,TBMonths,0),TBRowCount,1)))-IF(ISNA(MATCH(E$4,TBMonths,0))=TRUE,0,SUMIF(TBAll,$A18&amp;"*",OFFSET(TBCY!$C$4,1,MATCH(E$4,TBMonths,0)-1,TBRowCount,1))))</f>
        <v>0</v>
      </c>
      <c r="F18" s="40">
        <f ca="1">IF(F$4&gt;'Set-up'!$B$14,0,IF(ISNA(MATCH(F$4,TBMonths,0))=TRUE,0,SUMIF(TBAll,$A18&amp;"*",OFFSET(TBCY!$C$4,1,MATCH(F$4,TBMonths,0),TBRowCount,1)))-IF(ISNA(MATCH(F$4,TBMonths,0))=TRUE,0,SUMIF(TBAll,$A18&amp;"*",OFFSET(TBCY!$C$4,1,MATCH(F$4,TBMonths,0)-1,TBRowCount,1))))</f>
        <v>0</v>
      </c>
      <c r="G18" s="40">
        <f ca="1">IF(G$4&gt;'Set-up'!$B$14,0,IF(ISNA(MATCH(G$4,TBMonths,0))=TRUE,0,SUMIF(TBAll,$A18&amp;"*",OFFSET(TBCY!$C$4,1,MATCH(G$4,TBMonths,0),TBRowCount,1)))-IF(ISNA(MATCH(G$4,TBMonths,0))=TRUE,0,SUMIF(TBAll,$A18&amp;"*",OFFSET(TBCY!$C$4,1,MATCH(G$4,TBMonths,0)-1,TBRowCount,1))))</f>
        <v>0</v>
      </c>
      <c r="H18" s="40">
        <f ca="1">IF(H$4&gt;'Set-up'!$B$14,0,IF(ISNA(MATCH(H$4,TBMonths,0))=TRUE,0,SUMIF(TBAll,$A18&amp;"*",OFFSET(TBCY!$C$4,1,MATCH(H$4,TBMonths,0),TBRowCount,1)))-IF(ISNA(MATCH(H$4,TBMonths,0))=TRUE,0,SUMIF(TBAll,$A18&amp;"*",OFFSET(TBCY!$C$4,1,MATCH(H$4,TBMonths,0)-1,TBRowCount,1))))</f>
        <v>0</v>
      </c>
      <c r="I18" s="40">
        <f ca="1">IF(I$4&gt;'Set-up'!$B$14,0,IF(ISNA(MATCH(I$4,TBMonths,0))=TRUE,0,SUMIF(TBAll,$A18&amp;"*",OFFSET(TBCY!$C$4,1,MATCH(I$4,TBMonths,0),TBRowCount,1)))-IF(ISNA(MATCH(I$4,TBMonths,0))=TRUE,0,SUMIF(TBAll,$A18&amp;"*",OFFSET(TBCY!$C$4,1,MATCH(I$4,TBMonths,0)-1,TBRowCount,1))))</f>
        <v>0</v>
      </c>
      <c r="J18" s="40">
        <f ca="1">IF(J$4&gt;'Set-up'!$B$14,0,IF(ISNA(MATCH(J$4,TBMonths,0))=TRUE,0,SUMIF(TBAll,$A18&amp;"*",OFFSET(TBCY!$C$4,1,MATCH(J$4,TBMonths,0),TBRowCount,1)))-IF(ISNA(MATCH(J$4,TBMonths,0))=TRUE,0,SUMIF(TBAll,$A18&amp;"*",OFFSET(TBCY!$C$4,1,MATCH(J$4,TBMonths,0)-1,TBRowCount,1))))</f>
        <v>0</v>
      </c>
      <c r="K18" s="40">
        <f ca="1">IF(K$4&gt;'Set-up'!$B$14,0,IF(ISNA(MATCH(K$4,TBMonths,0))=TRUE,0,SUMIF(TBAll,$A18&amp;"*",OFFSET(TBCY!$C$4,1,MATCH(K$4,TBMonths,0),TBRowCount,1)))-IF(ISNA(MATCH(K$4,TBMonths,0))=TRUE,0,SUMIF(TBAll,$A18&amp;"*",OFFSET(TBCY!$C$4,1,MATCH(K$4,TBMonths,0)-1,TBRowCount,1))))</f>
        <v>0</v>
      </c>
      <c r="L18" s="40">
        <f ca="1">IF(L$4&gt;'Set-up'!$B$14,0,IF(ISNA(MATCH(L$4,TBMonths,0))=TRUE,0,SUMIF(TBAll,$A18&amp;"*",OFFSET(TBCY!$C$4,1,MATCH(L$4,TBMonths,0),TBRowCount,1)))-IF(ISNA(MATCH(L$4,TBMonths,0))=TRUE,0,SUMIF(TBAll,$A18&amp;"*",OFFSET(TBCY!$C$4,1,MATCH(L$4,TBMonths,0)-1,TBRowCount,1))))</f>
        <v>0</v>
      </c>
      <c r="M18" s="40">
        <f ca="1">IF(M$4&gt;'Set-up'!$B$14,0,IF(ISNA(MATCH(M$4,TBMonths,0))=TRUE,0,SUMIF(TBAll,$A18&amp;"*",OFFSET(TBCY!$C$4,1,MATCH(M$4,TBMonths,0),TBRowCount,1)))-IF(ISNA(MATCH(M$4,TBMonths,0))=TRUE,0,SUMIF(TBAll,$A18&amp;"*",OFFSET(TBCY!$C$4,1,MATCH(M$4,TBMonths,0)-1,TBRowCount,1))))</f>
        <v>0</v>
      </c>
      <c r="N18" s="40">
        <f ca="1">IF(N$4&gt;'Set-up'!$B$14,0,IF(ISNA(MATCH(N$4,TBMonths,0))=TRUE,0,SUMIF(TBAll,$A18&amp;"*",OFFSET(TBCY!$C$4,1,MATCH(N$4,TBMonths,0),TBRowCount,1)))-IF(ISNA(MATCH(N$4,TBMonths,0))=TRUE,0,SUMIF(TBAll,$A18&amp;"*",OFFSET(TBCY!$C$4,1,MATCH(N$4,TBMonths,0)-1,TBRowCount,1))))</f>
        <v>0</v>
      </c>
      <c r="O18" s="40">
        <f t="shared" ca="1" si="4"/>
        <v>0</v>
      </c>
    </row>
    <row r="19" spans="1:15" ht="15" customHeight="1" x14ac:dyDescent="0.35">
      <c r="A19" s="19" t="s">
        <v>220</v>
      </c>
      <c r="B19" s="9" t="str">
        <f ca="1">IF(ISNA(VLOOKUP($A19,TBAll,COLUMN(TBCY!$C$4),0))=TRUE,"error!",VLOOKUP($A19,TBAll,COLUMN(TBCY!$C$4),0))</f>
        <v>Insurance</v>
      </c>
      <c r="C19" s="40">
        <f ca="1">IF(C$4&gt;'Set-up'!$B$14,0,IF(ISNA(MATCH(C$4,TBMonths,0))=TRUE,0,SUMIF(TBAll,$A19&amp;"*",OFFSET(TBCY!$C$4,1,MATCH(C$4,TBMonths,0),TBRowCount,1)))-IF(ISNA(MATCH(C$4,TBMonths,0))=TRUE,0,SUMIF(TBAll,$A19&amp;"*",OFFSET(TBCY!$C$4,1,MATCH(C$4,TBMonths,0)-1,TBRowCount,1))))</f>
        <v>0</v>
      </c>
      <c r="D19" s="40">
        <f ca="1">IF(D$4&gt;'Set-up'!$B$14,0,IF(ISNA(MATCH(D$4,TBMonths,0))=TRUE,0,SUMIF(TBAll,$A19&amp;"*",OFFSET(TBCY!$C$4,1,MATCH(D$4,TBMonths,0),TBRowCount,1)))-IF(ISNA(MATCH(D$4,TBMonths,0))=TRUE,0,SUMIF(TBAll,$A19&amp;"*",OFFSET(TBCY!$C$4,1,MATCH(D$4,TBMonths,0)-1,TBRowCount,1))))</f>
        <v>0</v>
      </c>
      <c r="E19" s="40">
        <f ca="1">IF(E$4&gt;'Set-up'!$B$14,0,IF(ISNA(MATCH(E$4,TBMonths,0))=TRUE,0,SUMIF(TBAll,$A19&amp;"*",OFFSET(TBCY!$C$4,1,MATCH(E$4,TBMonths,0),TBRowCount,1)))-IF(ISNA(MATCH(E$4,TBMonths,0))=TRUE,0,SUMIF(TBAll,$A19&amp;"*",OFFSET(TBCY!$C$4,1,MATCH(E$4,TBMonths,0)-1,TBRowCount,1))))</f>
        <v>0</v>
      </c>
      <c r="F19" s="40">
        <f ca="1">IF(F$4&gt;'Set-up'!$B$14,0,IF(ISNA(MATCH(F$4,TBMonths,0))=TRUE,0,SUMIF(TBAll,$A19&amp;"*",OFFSET(TBCY!$C$4,1,MATCH(F$4,TBMonths,0),TBRowCount,1)))-IF(ISNA(MATCH(F$4,TBMonths,0))=TRUE,0,SUMIF(TBAll,$A19&amp;"*",OFFSET(TBCY!$C$4,1,MATCH(F$4,TBMonths,0)-1,TBRowCount,1))))</f>
        <v>0</v>
      </c>
      <c r="G19" s="40">
        <f ca="1">IF(G$4&gt;'Set-up'!$B$14,0,IF(ISNA(MATCH(G$4,TBMonths,0))=TRUE,0,SUMIF(TBAll,$A19&amp;"*",OFFSET(TBCY!$C$4,1,MATCH(G$4,TBMonths,0),TBRowCount,1)))-IF(ISNA(MATCH(G$4,TBMonths,0))=TRUE,0,SUMIF(TBAll,$A19&amp;"*",OFFSET(TBCY!$C$4,1,MATCH(G$4,TBMonths,0)-1,TBRowCount,1))))</f>
        <v>0</v>
      </c>
      <c r="H19" s="40">
        <f ca="1">IF(H$4&gt;'Set-up'!$B$14,0,IF(ISNA(MATCH(H$4,TBMonths,0))=TRUE,0,SUMIF(TBAll,$A19&amp;"*",OFFSET(TBCY!$C$4,1,MATCH(H$4,TBMonths,0),TBRowCount,1)))-IF(ISNA(MATCH(H$4,TBMonths,0))=TRUE,0,SUMIF(TBAll,$A19&amp;"*",OFFSET(TBCY!$C$4,1,MATCH(H$4,TBMonths,0)-1,TBRowCount,1))))</f>
        <v>0</v>
      </c>
      <c r="I19" s="40">
        <f ca="1">IF(I$4&gt;'Set-up'!$B$14,0,IF(ISNA(MATCH(I$4,TBMonths,0))=TRUE,0,SUMIF(TBAll,$A19&amp;"*",OFFSET(TBCY!$C$4,1,MATCH(I$4,TBMonths,0),TBRowCount,1)))-IF(ISNA(MATCH(I$4,TBMonths,0))=TRUE,0,SUMIF(TBAll,$A19&amp;"*",OFFSET(TBCY!$C$4,1,MATCH(I$4,TBMonths,0)-1,TBRowCount,1))))</f>
        <v>0</v>
      </c>
      <c r="J19" s="40">
        <f ca="1">IF(J$4&gt;'Set-up'!$B$14,0,IF(ISNA(MATCH(J$4,TBMonths,0))=TRUE,0,SUMIF(TBAll,$A19&amp;"*",OFFSET(TBCY!$C$4,1,MATCH(J$4,TBMonths,0),TBRowCount,1)))-IF(ISNA(MATCH(J$4,TBMonths,0))=TRUE,0,SUMIF(TBAll,$A19&amp;"*",OFFSET(TBCY!$C$4,1,MATCH(J$4,TBMonths,0)-1,TBRowCount,1))))</f>
        <v>0</v>
      </c>
      <c r="K19" s="40">
        <f ca="1">IF(K$4&gt;'Set-up'!$B$14,0,IF(ISNA(MATCH(K$4,TBMonths,0))=TRUE,0,SUMIF(TBAll,$A19&amp;"*",OFFSET(TBCY!$C$4,1,MATCH(K$4,TBMonths,0),TBRowCount,1)))-IF(ISNA(MATCH(K$4,TBMonths,0))=TRUE,0,SUMIF(TBAll,$A19&amp;"*",OFFSET(TBCY!$C$4,1,MATCH(K$4,TBMonths,0)-1,TBRowCount,1))))</f>
        <v>0</v>
      </c>
      <c r="L19" s="40">
        <f ca="1">IF(L$4&gt;'Set-up'!$B$14,0,IF(ISNA(MATCH(L$4,TBMonths,0))=TRUE,0,SUMIF(TBAll,$A19&amp;"*",OFFSET(TBCY!$C$4,1,MATCH(L$4,TBMonths,0),TBRowCount,1)))-IF(ISNA(MATCH(L$4,TBMonths,0))=TRUE,0,SUMIF(TBAll,$A19&amp;"*",OFFSET(TBCY!$C$4,1,MATCH(L$4,TBMonths,0)-1,TBRowCount,1))))</f>
        <v>0</v>
      </c>
      <c r="M19" s="40">
        <f ca="1">IF(M$4&gt;'Set-up'!$B$14,0,IF(ISNA(MATCH(M$4,TBMonths,0))=TRUE,0,SUMIF(TBAll,$A19&amp;"*",OFFSET(TBCY!$C$4,1,MATCH(M$4,TBMonths,0),TBRowCount,1)))-IF(ISNA(MATCH(M$4,TBMonths,0))=TRUE,0,SUMIF(TBAll,$A19&amp;"*",OFFSET(TBCY!$C$4,1,MATCH(M$4,TBMonths,0)-1,TBRowCount,1))))</f>
        <v>0</v>
      </c>
      <c r="N19" s="40">
        <f ca="1">IF(N$4&gt;'Set-up'!$B$14,0,IF(ISNA(MATCH(N$4,TBMonths,0))=TRUE,0,SUMIF(TBAll,$A19&amp;"*",OFFSET(TBCY!$C$4,1,MATCH(N$4,TBMonths,0),TBRowCount,1)))-IF(ISNA(MATCH(N$4,TBMonths,0))=TRUE,0,SUMIF(TBAll,$A19&amp;"*",OFFSET(TBCY!$C$4,1,MATCH(N$4,TBMonths,0)-1,TBRowCount,1))))</f>
        <v>0</v>
      </c>
      <c r="O19" s="40">
        <f t="shared" ca="1" si="4"/>
        <v>0</v>
      </c>
    </row>
    <row r="20" spans="1:15" ht="15" customHeight="1" x14ac:dyDescent="0.35">
      <c r="A20" s="19" t="s">
        <v>221</v>
      </c>
      <c r="B20" s="9" t="str">
        <f ca="1">IF(ISNA(VLOOKUP($A20,TBAll,COLUMN(TBCY!$C$4),0))=TRUE,"error!",VLOOKUP($A20,TBAll,COLUMN(TBCY!$C$4),0))</f>
        <v>Office Expenses</v>
      </c>
      <c r="C20" s="40">
        <f ca="1">IF(C$4&gt;'Set-up'!$B$14,0,IF(ISNA(MATCH(C$4,TBMonths,0))=TRUE,0,SUMIF(TBAll,$A20&amp;"*",OFFSET(TBCY!$C$4,1,MATCH(C$4,TBMonths,0),TBRowCount,1)))-IF(ISNA(MATCH(C$4,TBMonths,0))=TRUE,0,SUMIF(TBAll,$A20&amp;"*",OFFSET(TBCY!$C$4,1,MATCH(C$4,TBMonths,0)-1,TBRowCount,1))))</f>
        <v>0</v>
      </c>
      <c r="D20" s="40">
        <f ca="1">IF(D$4&gt;'Set-up'!$B$14,0,IF(ISNA(MATCH(D$4,TBMonths,0))=TRUE,0,SUMIF(TBAll,$A20&amp;"*",OFFSET(TBCY!$C$4,1,MATCH(D$4,TBMonths,0),TBRowCount,1)))-IF(ISNA(MATCH(D$4,TBMonths,0))=TRUE,0,SUMIF(TBAll,$A20&amp;"*",OFFSET(TBCY!$C$4,1,MATCH(D$4,TBMonths,0)-1,TBRowCount,1))))</f>
        <v>0</v>
      </c>
      <c r="E20" s="40">
        <f ca="1">IF(E$4&gt;'Set-up'!$B$14,0,IF(ISNA(MATCH(E$4,TBMonths,0))=TRUE,0,SUMIF(TBAll,$A20&amp;"*",OFFSET(TBCY!$C$4,1,MATCH(E$4,TBMonths,0),TBRowCount,1)))-IF(ISNA(MATCH(E$4,TBMonths,0))=TRUE,0,SUMIF(TBAll,$A20&amp;"*",OFFSET(TBCY!$C$4,1,MATCH(E$4,TBMonths,0)-1,TBRowCount,1))))</f>
        <v>0</v>
      </c>
      <c r="F20" s="40">
        <f ca="1">IF(F$4&gt;'Set-up'!$B$14,0,IF(ISNA(MATCH(F$4,TBMonths,0))=TRUE,0,SUMIF(TBAll,$A20&amp;"*",OFFSET(TBCY!$C$4,1,MATCH(F$4,TBMonths,0),TBRowCount,1)))-IF(ISNA(MATCH(F$4,TBMonths,0))=TRUE,0,SUMIF(TBAll,$A20&amp;"*",OFFSET(TBCY!$C$4,1,MATCH(F$4,TBMonths,0)-1,TBRowCount,1))))</f>
        <v>0</v>
      </c>
      <c r="G20" s="40">
        <f ca="1">IF(G$4&gt;'Set-up'!$B$14,0,IF(ISNA(MATCH(G$4,TBMonths,0))=TRUE,0,SUMIF(TBAll,$A20&amp;"*",OFFSET(TBCY!$C$4,1,MATCH(G$4,TBMonths,0),TBRowCount,1)))-IF(ISNA(MATCH(G$4,TBMonths,0))=TRUE,0,SUMIF(TBAll,$A20&amp;"*",OFFSET(TBCY!$C$4,1,MATCH(G$4,TBMonths,0)-1,TBRowCount,1))))</f>
        <v>0</v>
      </c>
      <c r="H20" s="40">
        <f ca="1">IF(H$4&gt;'Set-up'!$B$14,0,IF(ISNA(MATCH(H$4,TBMonths,0))=TRUE,0,SUMIF(TBAll,$A20&amp;"*",OFFSET(TBCY!$C$4,1,MATCH(H$4,TBMonths,0),TBRowCount,1)))-IF(ISNA(MATCH(H$4,TBMonths,0))=TRUE,0,SUMIF(TBAll,$A20&amp;"*",OFFSET(TBCY!$C$4,1,MATCH(H$4,TBMonths,0)-1,TBRowCount,1))))</f>
        <v>0</v>
      </c>
      <c r="I20" s="40">
        <f ca="1">IF(I$4&gt;'Set-up'!$B$14,0,IF(ISNA(MATCH(I$4,TBMonths,0))=TRUE,0,SUMIF(TBAll,$A20&amp;"*",OFFSET(TBCY!$C$4,1,MATCH(I$4,TBMonths,0),TBRowCount,1)))-IF(ISNA(MATCH(I$4,TBMonths,0))=TRUE,0,SUMIF(TBAll,$A20&amp;"*",OFFSET(TBCY!$C$4,1,MATCH(I$4,TBMonths,0)-1,TBRowCount,1))))</f>
        <v>0</v>
      </c>
      <c r="J20" s="40">
        <f ca="1">IF(J$4&gt;'Set-up'!$B$14,0,IF(ISNA(MATCH(J$4,TBMonths,0))=TRUE,0,SUMIF(TBAll,$A20&amp;"*",OFFSET(TBCY!$C$4,1,MATCH(J$4,TBMonths,0),TBRowCount,1)))-IF(ISNA(MATCH(J$4,TBMonths,0))=TRUE,0,SUMIF(TBAll,$A20&amp;"*",OFFSET(TBCY!$C$4,1,MATCH(J$4,TBMonths,0)-1,TBRowCount,1))))</f>
        <v>0</v>
      </c>
      <c r="K20" s="40">
        <f ca="1">IF(K$4&gt;'Set-up'!$B$14,0,IF(ISNA(MATCH(K$4,TBMonths,0))=TRUE,0,SUMIF(TBAll,$A20&amp;"*",OFFSET(TBCY!$C$4,1,MATCH(K$4,TBMonths,0),TBRowCount,1)))-IF(ISNA(MATCH(K$4,TBMonths,0))=TRUE,0,SUMIF(TBAll,$A20&amp;"*",OFFSET(TBCY!$C$4,1,MATCH(K$4,TBMonths,0)-1,TBRowCount,1))))</f>
        <v>0</v>
      </c>
      <c r="L20" s="40">
        <f ca="1">IF(L$4&gt;'Set-up'!$B$14,0,IF(ISNA(MATCH(L$4,TBMonths,0))=TRUE,0,SUMIF(TBAll,$A20&amp;"*",OFFSET(TBCY!$C$4,1,MATCH(L$4,TBMonths,0),TBRowCount,1)))-IF(ISNA(MATCH(L$4,TBMonths,0))=TRUE,0,SUMIF(TBAll,$A20&amp;"*",OFFSET(TBCY!$C$4,1,MATCH(L$4,TBMonths,0)-1,TBRowCount,1))))</f>
        <v>0</v>
      </c>
      <c r="M20" s="40">
        <f ca="1">IF(M$4&gt;'Set-up'!$B$14,0,IF(ISNA(MATCH(M$4,TBMonths,0))=TRUE,0,SUMIF(TBAll,$A20&amp;"*",OFFSET(TBCY!$C$4,1,MATCH(M$4,TBMonths,0),TBRowCount,1)))-IF(ISNA(MATCH(M$4,TBMonths,0))=TRUE,0,SUMIF(TBAll,$A20&amp;"*",OFFSET(TBCY!$C$4,1,MATCH(M$4,TBMonths,0)-1,TBRowCount,1))))</f>
        <v>0</v>
      </c>
      <c r="N20" s="40">
        <f ca="1">IF(N$4&gt;'Set-up'!$B$14,0,IF(ISNA(MATCH(N$4,TBMonths,0))=TRUE,0,SUMIF(TBAll,$A20&amp;"*",OFFSET(TBCY!$C$4,1,MATCH(N$4,TBMonths,0),TBRowCount,1)))-IF(ISNA(MATCH(N$4,TBMonths,0))=TRUE,0,SUMIF(TBAll,$A20&amp;"*",OFFSET(TBCY!$C$4,1,MATCH(N$4,TBMonths,0)-1,TBRowCount,1))))</f>
        <v>0</v>
      </c>
      <c r="O20" s="40">
        <f t="shared" ca="1" si="4"/>
        <v>0</v>
      </c>
    </row>
    <row r="21" spans="1:15" ht="15" customHeight="1" x14ac:dyDescent="0.35">
      <c r="A21" s="19" t="s">
        <v>222</v>
      </c>
      <c r="B21" s="9" t="str">
        <f ca="1">IF(ISNA(VLOOKUP($A21,TBAll,COLUMN(TBCY!$C$4),0))=TRUE,"error!",VLOOKUP($A21,TBAll,COLUMN(TBCY!$C$4),0))</f>
        <v>Office Rent</v>
      </c>
      <c r="C21" s="40">
        <f ca="1">IF(C$4&gt;'Set-up'!$B$14,0,IF(ISNA(MATCH(C$4,TBMonths,0))=TRUE,0,SUMIF(TBAll,$A21&amp;"*",OFFSET(TBCY!$C$4,1,MATCH(C$4,TBMonths,0),TBRowCount,1)))-IF(ISNA(MATCH(C$4,TBMonths,0))=TRUE,0,SUMIF(TBAll,$A21&amp;"*",OFFSET(TBCY!$C$4,1,MATCH(C$4,TBMonths,0)-1,TBRowCount,1))))</f>
        <v>0</v>
      </c>
      <c r="D21" s="40">
        <f ca="1">IF(D$4&gt;'Set-up'!$B$14,0,IF(ISNA(MATCH(D$4,TBMonths,0))=TRUE,0,SUMIF(TBAll,$A21&amp;"*",OFFSET(TBCY!$C$4,1,MATCH(D$4,TBMonths,0),TBRowCount,1)))-IF(ISNA(MATCH(D$4,TBMonths,0))=TRUE,0,SUMIF(TBAll,$A21&amp;"*",OFFSET(TBCY!$C$4,1,MATCH(D$4,TBMonths,0)-1,TBRowCount,1))))</f>
        <v>0</v>
      </c>
      <c r="E21" s="40">
        <f ca="1">IF(E$4&gt;'Set-up'!$B$14,0,IF(ISNA(MATCH(E$4,TBMonths,0))=TRUE,0,SUMIF(TBAll,$A21&amp;"*",OFFSET(TBCY!$C$4,1,MATCH(E$4,TBMonths,0),TBRowCount,1)))-IF(ISNA(MATCH(E$4,TBMonths,0))=TRUE,0,SUMIF(TBAll,$A21&amp;"*",OFFSET(TBCY!$C$4,1,MATCH(E$4,TBMonths,0)-1,TBRowCount,1))))</f>
        <v>0</v>
      </c>
      <c r="F21" s="40">
        <f ca="1">IF(F$4&gt;'Set-up'!$B$14,0,IF(ISNA(MATCH(F$4,TBMonths,0))=TRUE,0,SUMIF(TBAll,$A21&amp;"*",OFFSET(TBCY!$C$4,1,MATCH(F$4,TBMonths,0),TBRowCount,1)))-IF(ISNA(MATCH(F$4,TBMonths,0))=TRUE,0,SUMIF(TBAll,$A21&amp;"*",OFFSET(TBCY!$C$4,1,MATCH(F$4,TBMonths,0)-1,TBRowCount,1))))</f>
        <v>0</v>
      </c>
      <c r="G21" s="40">
        <f ca="1">IF(G$4&gt;'Set-up'!$B$14,0,IF(ISNA(MATCH(G$4,TBMonths,0))=TRUE,0,SUMIF(TBAll,$A21&amp;"*",OFFSET(TBCY!$C$4,1,MATCH(G$4,TBMonths,0),TBRowCount,1)))-IF(ISNA(MATCH(G$4,TBMonths,0))=TRUE,0,SUMIF(TBAll,$A21&amp;"*",OFFSET(TBCY!$C$4,1,MATCH(G$4,TBMonths,0)-1,TBRowCount,1))))</f>
        <v>0</v>
      </c>
      <c r="H21" s="40">
        <f ca="1">IF(H$4&gt;'Set-up'!$B$14,0,IF(ISNA(MATCH(H$4,TBMonths,0))=TRUE,0,SUMIF(TBAll,$A21&amp;"*",OFFSET(TBCY!$C$4,1,MATCH(H$4,TBMonths,0),TBRowCount,1)))-IF(ISNA(MATCH(H$4,TBMonths,0))=TRUE,0,SUMIF(TBAll,$A21&amp;"*",OFFSET(TBCY!$C$4,1,MATCH(H$4,TBMonths,0)-1,TBRowCount,1))))</f>
        <v>0</v>
      </c>
      <c r="I21" s="40">
        <f ca="1">IF(I$4&gt;'Set-up'!$B$14,0,IF(ISNA(MATCH(I$4,TBMonths,0))=TRUE,0,SUMIF(TBAll,$A21&amp;"*",OFFSET(TBCY!$C$4,1,MATCH(I$4,TBMonths,0),TBRowCount,1)))-IF(ISNA(MATCH(I$4,TBMonths,0))=TRUE,0,SUMIF(TBAll,$A21&amp;"*",OFFSET(TBCY!$C$4,1,MATCH(I$4,TBMonths,0)-1,TBRowCount,1))))</f>
        <v>0</v>
      </c>
      <c r="J21" s="40">
        <f ca="1">IF(J$4&gt;'Set-up'!$B$14,0,IF(ISNA(MATCH(J$4,TBMonths,0))=TRUE,0,SUMIF(TBAll,$A21&amp;"*",OFFSET(TBCY!$C$4,1,MATCH(J$4,TBMonths,0),TBRowCount,1)))-IF(ISNA(MATCH(J$4,TBMonths,0))=TRUE,0,SUMIF(TBAll,$A21&amp;"*",OFFSET(TBCY!$C$4,1,MATCH(J$4,TBMonths,0)-1,TBRowCount,1))))</f>
        <v>0</v>
      </c>
      <c r="K21" s="40">
        <f ca="1">IF(K$4&gt;'Set-up'!$B$14,0,IF(ISNA(MATCH(K$4,TBMonths,0))=TRUE,0,SUMIF(TBAll,$A21&amp;"*",OFFSET(TBCY!$C$4,1,MATCH(K$4,TBMonths,0),TBRowCount,1)))-IF(ISNA(MATCH(K$4,TBMonths,0))=TRUE,0,SUMIF(TBAll,$A21&amp;"*",OFFSET(TBCY!$C$4,1,MATCH(K$4,TBMonths,0)-1,TBRowCount,1))))</f>
        <v>0</v>
      </c>
      <c r="L21" s="40">
        <f ca="1">IF(L$4&gt;'Set-up'!$B$14,0,IF(ISNA(MATCH(L$4,TBMonths,0))=TRUE,0,SUMIF(TBAll,$A21&amp;"*",OFFSET(TBCY!$C$4,1,MATCH(L$4,TBMonths,0),TBRowCount,1)))-IF(ISNA(MATCH(L$4,TBMonths,0))=TRUE,0,SUMIF(TBAll,$A21&amp;"*",OFFSET(TBCY!$C$4,1,MATCH(L$4,TBMonths,0)-1,TBRowCount,1))))</f>
        <v>0</v>
      </c>
      <c r="M21" s="40">
        <f ca="1">IF(M$4&gt;'Set-up'!$B$14,0,IF(ISNA(MATCH(M$4,TBMonths,0))=TRUE,0,SUMIF(TBAll,$A21&amp;"*",OFFSET(TBCY!$C$4,1,MATCH(M$4,TBMonths,0),TBRowCount,1)))-IF(ISNA(MATCH(M$4,TBMonths,0))=TRUE,0,SUMIF(TBAll,$A21&amp;"*",OFFSET(TBCY!$C$4,1,MATCH(M$4,TBMonths,0)-1,TBRowCount,1))))</f>
        <v>0</v>
      </c>
      <c r="N21" s="40">
        <f ca="1">IF(N$4&gt;'Set-up'!$B$14,0,IF(ISNA(MATCH(N$4,TBMonths,0))=TRUE,0,SUMIF(TBAll,$A21&amp;"*",OFFSET(TBCY!$C$4,1,MATCH(N$4,TBMonths,0),TBRowCount,1)))-IF(ISNA(MATCH(N$4,TBMonths,0))=TRUE,0,SUMIF(TBAll,$A21&amp;"*",OFFSET(TBCY!$C$4,1,MATCH(N$4,TBMonths,0)-1,TBRowCount,1))))</f>
        <v>0</v>
      </c>
      <c r="O21" s="40">
        <f t="shared" ca="1" si="4"/>
        <v>0</v>
      </c>
    </row>
    <row r="22" spans="1:15" ht="15" customHeight="1" x14ac:dyDescent="0.35">
      <c r="A22" s="19" t="s">
        <v>223</v>
      </c>
      <c r="B22" s="9" t="str">
        <f ca="1">IF(ISNA(VLOOKUP($A22,TBAll,COLUMN(TBCY!$C$4),0))=TRUE,"error!",VLOOKUP($A22,TBAll,COLUMN(TBCY!$C$4),0))</f>
        <v>Postage</v>
      </c>
      <c r="C22" s="40">
        <f ca="1">IF(C$4&gt;'Set-up'!$B$14,0,IF(ISNA(MATCH(C$4,TBMonths,0))=TRUE,0,SUMIF(TBAll,$A22&amp;"*",OFFSET(TBCY!$C$4,1,MATCH(C$4,TBMonths,0),TBRowCount,1)))-IF(ISNA(MATCH(C$4,TBMonths,0))=TRUE,0,SUMIF(TBAll,$A22&amp;"*",OFFSET(TBCY!$C$4,1,MATCH(C$4,TBMonths,0)-1,TBRowCount,1))))</f>
        <v>0</v>
      </c>
      <c r="D22" s="40">
        <f ca="1">IF(D$4&gt;'Set-up'!$B$14,0,IF(ISNA(MATCH(D$4,TBMonths,0))=TRUE,0,SUMIF(TBAll,$A22&amp;"*",OFFSET(TBCY!$C$4,1,MATCH(D$4,TBMonths,0),TBRowCount,1)))-IF(ISNA(MATCH(D$4,TBMonths,0))=TRUE,0,SUMIF(TBAll,$A22&amp;"*",OFFSET(TBCY!$C$4,1,MATCH(D$4,TBMonths,0)-1,TBRowCount,1))))</f>
        <v>0</v>
      </c>
      <c r="E22" s="40">
        <f ca="1">IF(E$4&gt;'Set-up'!$B$14,0,IF(ISNA(MATCH(E$4,TBMonths,0))=TRUE,0,SUMIF(TBAll,$A22&amp;"*",OFFSET(TBCY!$C$4,1,MATCH(E$4,TBMonths,0),TBRowCount,1)))-IF(ISNA(MATCH(E$4,TBMonths,0))=TRUE,0,SUMIF(TBAll,$A22&amp;"*",OFFSET(TBCY!$C$4,1,MATCH(E$4,TBMonths,0)-1,TBRowCount,1))))</f>
        <v>0</v>
      </c>
      <c r="F22" s="40">
        <f ca="1">IF(F$4&gt;'Set-up'!$B$14,0,IF(ISNA(MATCH(F$4,TBMonths,0))=TRUE,0,SUMIF(TBAll,$A22&amp;"*",OFFSET(TBCY!$C$4,1,MATCH(F$4,TBMonths,0),TBRowCount,1)))-IF(ISNA(MATCH(F$4,TBMonths,0))=TRUE,0,SUMIF(TBAll,$A22&amp;"*",OFFSET(TBCY!$C$4,1,MATCH(F$4,TBMonths,0)-1,TBRowCount,1))))</f>
        <v>0</v>
      </c>
      <c r="G22" s="40">
        <f ca="1">IF(G$4&gt;'Set-up'!$B$14,0,IF(ISNA(MATCH(G$4,TBMonths,0))=TRUE,0,SUMIF(TBAll,$A22&amp;"*",OFFSET(TBCY!$C$4,1,MATCH(G$4,TBMonths,0),TBRowCount,1)))-IF(ISNA(MATCH(G$4,TBMonths,0))=TRUE,0,SUMIF(TBAll,$A22&amp;"*",OFFSET(TBCY!$C$4,1,MATCH(G$4,TBMonths,0)-1,TBRowCount,1))))</f>
        <v>0</v>
      </c>
      <c r="H22" s="40">
        <f ca="1">IF(H$4&gt;'Set-up'!$B$14,0,IF(ISNA(MATCH(H$4,TBMonths,0))=TRUE,0,SUMIF(TBAll,$A22&amp;"*",OFFSET(TBCY!$C$4,1,MATCH(H$4,TBMonths,0),TBRowCount,1)))-IF(ISNA(MATCH(H$4,TBMonths,0))=TRUE,0,SUMIF(TBAll,$A22&amp;"*",OFFSET(TBCY!$C$4,1,MATCH(H$4,TBMonths,0)-1,TBRowCount,1))))</f>
        <v>0</v>
      </c>
      <c r="I22" s="40">
        <f ca="1">IF(I$4&gt;'Set-up'!$B$14,0,IF(ISNA(MATCH(I$4,TBMonths,0))=TRUE,0,SUMIF(TBAll,$A22&amp;"*",OFFSET(TBCY!$C$4,1,MATCH(I$4,TBMonths,0),TBRowCount,1)))-IF(ISNA(MATCH(I$4,TBMonths,0))=TRUE,0,SUMIF(TBAll,$A22&amp;"*",OFFSET(TBCY!$C$4,1,MATCH(I$4,TBMonths,0)-1,TBRowCount,1))))</f>
        <v>0</v>
      </c>
      <c r="J22" s="40">
        <f ca="1">IF(J$4&gt;'Set-up'!$B$14,0,IF(ISNA(MATCH(J$4,TBMonths,0))=TRUE,0,SUMIF(TBAll,$A22&amp;"*",OFFSET(TBCY!$C$4,1,MATCH(J$4,TBMonths,0),TBRowCount,1)))-IF(ISNA(MATCH(J$4,TBMonths,0))=TRUE,0,SUMIF(TBAll,$A22&amp;"*",OFFSET(TBCY!$C$4,1,MATCH(J$4,TBMonths,0)-1,TBRowCount,1))))</f>
        <v>0</v>
      </c>
      <c r="K22" s="40">
        <f ca="1">IF(K$4&gt;'Set-up'!$B$14,0,IF(ISNA(MATCH(K$4,TBMonths,0))=TRUE,0,SUMIF(TBAll,$A22&amp;"*",OFFSET(TBCY!$C$4,1,MATCH(K$4,TBMonths,0),TBRowCount,1)))-IF(ISNA(MATCH(K$4,TBMonths,0))=TRUE,0,SUMIF(TBAll,$A22&amp;"*",OFFSET(TBCY!$C$4,1,MATCH(K$4,TBMonths,0)-1,TBRowCount,1))))</f>
        <v>0</v>
      </c>
      <c r="L22" s="40">
        <f ca="1">IF(L$4&gt;'Set-up'!$B$14,0,IF(ISNA(MATCH(L$4,TBMonths,0))=TRUE,0,SUMIF(TBAll,$A22&amp;"*",OFFSET(TBCY!$C$4,1,MATCH(L$4,TBMonths,0),TBRowCount,1)))-IF(ISNA(MATCH(L$4,TBMonths,0))=TRUE,0,SUMIF(TBAll,$A22&amp;"*",OFFSET(TBCY!$C$4,1,MATCH(L$4,TBMonths,0)-1,TBRowCount,1))))</f>
        <v>0</v>
      </c>
      <c r="M22" s="40">
        <f ca="1">IF(M$4&gt;'Set-up'!$B$14,0,IF(ISNA(MATCH(M$4,TBMonths,0))=TRUE,0,SUMIF(TBAll,$A22&amp;"*",OFFSET(TBCY!$C$4,1,MATCH(M$4,TBMonths,0),TBRowCount,1)))-IF(ISNA(MATCH(M$4,TBMonths,0))=TRUE,0,SUMIF(TBAll,$A22&amp;"*",OFFSET(TBCY!$C$4,1,MATCH(M$4,TBMonths,0)-1,TBRowCount,1))))</f>
        <v>0</v>
      </c>
      <c r="N22" s="40">
        <f ca="1">IF(N$4&gt;'Set-up'!$B$14,0,IF(ISNA(MATCH(N$4,TBMonths,0))=TRUE,0,SUMIF(TBAll,$A22&amp;"*",OFFSET(TBCY!$C$4,1,MATCH(N$4,TBMonths,0),TBRowCount,1)))-IF(ISNA(MATCH(N$4,TBMonths,0))=TRUE,0,SUMIF(TBAll,$A22&amp;"*",OFFSET(TBCY!$C$4,1,MATCH(N$4,TBMonths,0)-1,TBRowCount,1))))</f>
        <v>0</v>
      </c>
      <c r="O22" s="40">
        <f t="shared" ca="1" si="4"/>
        <v>0</v>
      </c>
    </row>
    <row r="23" spans="1:15" ht="15" customHeight="1" x14ac:dyDescent="0.35">
      <c r="A23" s="19" t="s">
        <v>224</v>
      </c>
      <c r="B23" s="9" t="str">
        <f ca="1">IF(ISNA(VLOOKUP($A23,TBAll,COLUMN(TBCY!$C$4),0))=TRUE,"error!",VLOOKUP($A23,TBAll,COLUMN(TBCY!$C$4),0))</f>
        <v>Professional &amp; Legal Fees</v>
      </c>
      <c r="C23" s="40">
        <f ca="1">IF(C$4&gt;'Set-up'!$B$14,0,IF(ISNA(MATCH(C$4,TBMonths,0))=TRUE,0,SUMIF(TBAll,$A23&amp;"*",OFFSET(TBCY!$C$4,1,MATCH(C$4,TBMonths,0),TBRowCount,1)))-IF(ISNA(MATCH(C$4,TBMonths,0))=TRUE,0,SUMIF(TBAll,$A23&amp;"*",OFFSET(TBCY!$C$4,1,MATCH(C$4,TBMonths,0)-1,TBRowCount,1))))</f>
        <v>0</v>
      </c>
      <c r="D23" s="40">
        <f ca="1">IF(D$4&gt;'Set-up'!$B$14,0,IF(ISNA(MATCH(D$4,TBMonths,0))=TRUE,0,SUMIF(TBAll,$A23&amp;"*",OFFSET(TBCY!$C$4,1,MATCH(D$4,TBMonths,0),TBRowCount,1)))-IF(ISNA(MATCH(D$4,TBMonths,0))=TRUE,0,SUMIF(TBAll,$A23&amp;"*",OFFSET(TBCY!$C$4,1,MATCH(D$4,TBMonths,0)-1,TBRowCount,1))))</f>
        <v>0</v>
      </c>
      <c r="E23" s="40">
        <f ca="1">IF(E$4&gt;'Set-up'!$B$14,0,IF(ISNA(MATCH(E$4,TBMonths,0))=TRUE,0,SUMIF(TBAll,$A23&amp;"*",OFFSET(TBCY!$C$4,1,MATCH(E$4,TBMonths,0),TBRowCount,1)))-IF(ISNA(MATCH(E$4,TBMonths,0))=TRUE,0,SUMIF(TBAll,$A23&amp;"*",OFFSET(TBCY!$C$4,1,MATCH(E$4,TBMonths,0)-1,TBRowCount,1))))</f>
        <v>0</v>
      </c>
      <c r="F23" s="40">
        <f ca="1">IF(F$4&gt;'Set-up'!$B$14,0,IF(ISNA(MATCH(F$4,TBMonths,0))=TRUE,0,SUMIF(TBAll,$A23&amp;"*",OFFSET(TBCY!$C$4,1,MATCH(F$4,TBMonths,0),TBRowCount,1)))-IF(ISNA(MATCH(F$4,TBMonths,0))=TRUE,0,SUMIF(TBAll,$A23&amp;"*",OFFSET(TBCY!$C$4,1,MATCH(F$4,TBMonths,0)-1,TBRowCount,1))))</f>
        <v>0</v>
      </c>
      <c r="G23" s="40">
        <f ca="1">IF(G$4&gt;'Set-up'!$B$14,0,IF(ISNA(MATCH(G$4,TBMonths,0))=TRUE,0,SUMIF(TBAll,$A23&amp;"*",OFFSET(TBCY!$C$4,1,MATCH(G$4,TBMonths,0),TBRowCount,1)))-IF(ISNA(MATCH(G$4,TBMonths,0))=TRUE,0,SUMIF(TBAll,$A23&amp;"*",OFFSET(TBCY!$C$4,1,MATCH(G$4,TBMonths,0)-1,TBRowCount,1))))</f>
        <v>0</v>
      </c>
      <c r="H23" s="40">
        <f ca="1">IF(H$4&gt;'Set-up'!$B$14,0,IF(ISNA(MATCH(H$4,TBMonths,0))=TRUE,0,SUMIF(TBAll,$A23&amp;"*",OFFSET(TBCY!$C$4,1,MATCH(H$4,TBMonths,0),TBRowCount,1)))-IF(ISNA(MATCH(H$4,TBMonths,0))=TRUE,0,SUMIF(TBAll,$A23&amp;"*",OFFSET(TBCY!$C$4,1,MATCH(H$4,TBMonths,0)-1,TBRowCount,1))))</f>
        <v>0</v>
      </c>
      <c r="I23" s="40">
        <f ca="1">IF(I$4&gt;'Set-up'!$B$14,0,IF(ISNA(MATCH(I$4,TBMonths,0))=TRUE,0,SUMIF(TBAll,$A23&amp;"*",OFFSET(TBCY!$C$4,1,MATCH(I$4,TBMonths,0),TBRowCount,1)))-IF(ISNA(MATCH(I$4,TBMonths,0))=TRUE,0,SUMIF(TBAll,$A23&amp;"*",OFFSET(TBCY!$C$4,1,MATCH(I$4,TBMonths,0)-1,TBRowCount,1))))</f>
        <v>0</v>
      </c>
      <c r="J23" s="40">
        <f ca="1">IF(J$4&gt;'Set-up'!$B$14,0,IF(ISNA(MATCH(J$4,TBMonths,0))=TRUE,0,SUMIF(TBAll,$A23&amp;"*",OFFSET(TBCY!$C$4,1,MATCH(J$4,TBMonths,0),TBRowCount,1)))-IF(ISNA(MATCH(J$4,TBMonths,0))=TRUE,0,SUMIF(TBAll,$A23&amp;"*",OFFSET(TBCY!$C$4,1,MATCH(J$4,TBMonths,0)-1,TBRowCount,1))))</f>
        <v>0</v>
      </c>
      <c r="K23" s="40">
        <f ca="1">IF(K$4&gt;'Set-up'!$B$14,0,IF(ISNA(MATCH(K$4,TBMonths,0))=TRUE,0,SUMIF(TBAll,$A23&amp;"*",OFFSET(TBCY!$C$4,1,MATCH(K$4,TBMonths,0),TBRowCount,1)))-IF(ISNA(MATCH(K$4,TBMonths,0))=TRUE,0,SUMIF(TBAll,$A23&amp;"*",OFFSET(TBCY!$C$4,1,MATCH(K$4,TBMonths,0)-1,TBRowCount,1))))</f>
        <v>0</v>
      </c>
      <c r="L23" s="40">
        <f ca="1">IF(L$4&gt;'Set-up'!$B$14,0,IF(ISNA(MATCH(L$4,TBMonths,0))=TRUE,0,SUMIF(TBAll,$A23&amp;"*",OFFSET(TBCY!$C$4,1,MATCH(L$4,TBMonths,0),TBRowCount,1)))-IF(ISNA(MATCH(L$4,TBMonths,0))=TRUE,0,SUMIF(TBAll,$A23&amp;"*",OFFSET(TBCY!$C$4,1,MATCH(L$4,TBMonths,0)-1,TBRowCount,1))))</f>
        <v>0</v>
      </c>
      <c r="M23" s="40">
        <f ca="1">IF(M$4&gt;'Set-up'!$B$14,0,IF(ISNA(MATCH(M$4,TBMonths,0))=TRUE,0,SUMIF(TBAll,$A23&amp;"*",OFFSET(TBCY!$C$4,1,MATCH(M$4,TBMonths,0),TBRowCount,1)))-IF(ISNA(MATCH(M$4,TBMonths,0))=TRUE,0,SUMIF(TBAll,$A23&amp;"*",OFFSET(TBCY!$C$4,1,MATCH(M$4,TBMonths,0)-1,TBRowCount,1))))</f>
        <v>0</v>
      </c>
      <c r="N23" s="40">
        <f ca="1">IF(N$4&gt;'Set-up'!$B$14,0,IF(ISNA(MATCH(N$4,TBMonths,0))=TRUE,0,SUMIF(TBAll,$A23&amp;"*",OFFSET(TBCY!$C$4,1,MATCH(N$4,TBMonths,0),TBRowCount,1)))-IF(ISNA(MATCH(N$4,TBMonths,0))=TRUE,0,SUMIF(TBAll,$A23&amp;"*",OFFSET(TBCY!$C$4,1,MATCH(N$4,TBMonths,0)-1,TBRowCount,1))))</f>
        <v>0</v>
      </c>
      <c r="O23" s="40">
        <f t="shared" ca="1" si="4"/>
        <v>0</v>
      </c>
    </row>
    <row r="24" spans="1:15" ht="15" customHeight="1" x14ac:dyDescent="0.35">
      <c r="A24" s="19" t="s">
        <v>225</v>
      </c>
      <c r="B24" s="9" t="str">
        <f ca="1">IF(ISNA(VLOOKUP($A24,TBAll,COLUMN(TBCY!$C$4),0))=TRUE,"error!",VLOOKUP($A24,TBAll,COLUMN(TBCY!$C$4),0))</f>
        <v>Salaries &amp; Wages</v>
      </c>
      <c r="C24" s="40">
        <f ca="1">IF(C$4&gt;'Set-up'!$B$14,0,IF(ISNA(MATCH(C$4,TBMonths,0))=TRUE,0,SUMIF(TBAll,$A24&amp;"*",OFFSET(TBCY!$C$4,1,MATCH(C$4,TBMonths,0),TBRowCount,1)))-IF(ISNA(MATCH(C$4,TBMonths,0))=TRUE,0,SUMIF(TBAll,$A24&amp;"*",OFFSET(TBCY!$C$4,1,MATCH(C$4,TBMonths,0)-1,TBRowCount,1))))</f>
        <v>0</v>
      </c>
      <c r="D24" s="40">
        <f ca="1">IF(D$4&gt;'Set-up'!$B$14,0,IF(ISNA(MATCH(D$4,TBMonths,0))=TRUE,0,SUMIF(TBAll,$A24&amp;"*",OFFSET(TBCY!$C$4,1,MATCH(D$4,TBMonths,0),TBRowCount,1)))-IF(ISNA(MATCH(D$4,TBMonths,0))=TRUE,0,SUMIF(TBAll,$A24&amp;"*",OFFSET(TBCY!$C$4,1,MATCH(D$4,TBMonths,0)-1,TBRowCount,1))))</f>
        <v>0</v>
      </c>
      <c r="E24" s="40">
        <f ca="1">IF(E$4&gt;'Set-up'!$B$14,0,IF(ISNA(MATCH(E$4,TBMonths,0))=TRUE,0,SUMIF(TBAll,$A24&amp;"*",OFFSET(TBCY!$C$4,1,MATCH(E$4,TBMonths,0),TBRowCount,1)))-IF(ISNA(MATCH(E$4,TBMonths,0))=TRUE,0,SUMIF(TBAll,$A24&amp;"*",OFFSET(TBCY!$C$4,1,MATCH(E$4,TBMonths,0)-1,TBRowCount,1))))</f>
        <v>0</v>
      </c>
      <c r="F24" s="40">
        <f ca="1">IF(F$4&gt;'Set-up'!$B$14,0,IF(ISNA(MATCH(F$4,TBMonths,0))=TRUE,0,SUMIF(TBAll,$A24&amp;"*",OFFSET(TBCY!$C$4,1,MATCH(F$4,TBMonths,0),TBRowCount,1)))-IF(ISNA(MATCH(F$4,TBMonths,0))=TRUE,0,SUMIF(TBAll,$A24&amp;"*",OFFSET(TBCY!$C$4,1,MATCH(F$4,TBMonths,0)-1,TBRowCount,1))))</f>
        <v>0</v>
      </c>
      <c r="G24" s="40">
        <f ca="1">IF(G$4&gt;'Set-up'!$B$14,0,IF(ISNA(MATCH(G$4,TBMonths,0))=TRUE,0,SUMIF(TBAll,$A24&amp;"*",OFFSET(TBCY!$C$4,1,MATCH(G$4,TBMonths,0),TBRowCount,1)))-IF(ISNA(MATCH(G$4,TBMonths,0))=TRUE,0,SUMIF(TBAll,$A24&amp;"*",OFFSET(TBCY!$C$4,1,MATCH(G$4,TBMonths,0)-1,TBRowCount,1))))</f>
        <v>0</v>
      </c>
      <c r="H24" s="40">
        <f ca="1">IF(H$4&gt;'Set-up'!$B$14,0,IF(ISNA(MATCH(H$4,TBMonths,0))=TRUE,0,SUMIF(TBAll,$A24&amp;"*",OFFSET(TBCY!$C$4,1,MATCH(H$4,TBMonths,0),TBRowCount,1)))-IF(ISNA(MATCH(H$4,TBMonths,0))=TRUE,0,SUMIF(TBAll,$A24&amp;"*",OFFSET(TBCY!$C$4,1,MATCH(H$4,TBMonths,0)-1,TBRowCount,1))))</f>
        <v>0</v>
      </c>
      <c r="I24" s="40">
        <f ca="1">IF(I$4&gt;'Set-up'!$B$14,0,IF(ISNA(MATCH(I$4,TBMonths,0))=TRUE,0,SUMIF(TBAll,$A24&amp;"*",OFFSET(TBCY!$C$4,1,MATCH(I$4,TBMonths,0),TBRowCount,1)))-IF(ISNA(MATCH(I$4,TBMonths,0))=TRUE,0,SUMIF(TBAll,$A24&amp;"*",OFFSET(TBCY!$C$4,1,MATCH(I$4,TBMonths,0)-1,TBRowCount,1))))</f>
        <v>0</v>
      </c>
      <c r="J24" s="40">
        <f ca="1">IF(J$4&gt;'Set-up'!$B$14,0,IF(ISNA(MATCH(J$4,TBMonths,0))=TRUE,0,SUMIF(TBAll,$A24&amp;"*",OFFSET(TBCY!$C$4,1,MATCH(J$4,TBMonths,0),TBRowCount,1)))-IF(ISNA(MATCH(J$4,TBMonths,0))=TRUE,0,SUMIF(TBAll,$A24&amp;"*",OFFSET(TBCY!$C$4,1,MATCH(J$4,TBMonths,0)-1,TBRowCount,1))))</f>
        <v>0</v>
      </c>
      <c r="K24" s="40">
        <f ca="1">IF(K$4&gt;'Set-up'!$B$14,0,IF(ISNA(MATCH(K$4,TBMonths,0))=TRUE,0,SUMIF(TBAll,$A24&amp;"*",OFFSET(TBCY!$C$4,1,MATCH(K$4,TBMonths,0),TBRowCount,1)))-IF(ISNA(MATCH(K$4,TBMonths,0))=TRUE,0,SUMIF(TBAll,$A24&amp;"*",OFFSET(TBCY!$C$4,1,MATCH(K$4,TBMonths,0)-1,TBRowCount,1))))</f>
        <v>0</v>
      </c>
      <c r="L24" s="40">
        <f ca="1">IF(L$4&gt;'Set-up'!$B$14,0,IF(ISNA(MATCH(L$4,TBMonths,0))=TRUE,0,SUMIF(TBAll,$A24&amp;"*",OFFSET(TBCY!$C$4,1,MATCH(L$4,TBMonths,0),TBRowCount,1)))-IF(ISNA(MATCH(L$4,TBMonths,0))=TRUE,0,SUMIF(TBAll,$A24&amp;"*",OFFSET(TBCY!$C$4,1,MATCH(L$4,TBMonths,0)-1,TBRowCount,1))))</f>
        <v>0</v>
      </c>
      <c r="M24" s="40">
        <f ca="1">IF(M$4&gt;'Set-up'!$B$14,0,IF(ISNA(MATCH(M$4,TBMonths,0))=TRUE,0,SUMIF(TBAll,$A24&amp;"*",OFFSET(TBCY!$C$4,1,MATCH(M$4,TBMonths,0),TBRowCount,1)))-IF(ISNA(MATCH(M$4,TBMonths,0))=TRUE,0,SUMIF(TBAll,$A24&amp;"*",OFFSET(TBCY!$C$4,1,MATCH(M$4,TBMonths,0)-1,TBRowCount,1))))</f>
        <v>0</v>
      </c>
      <c r="N24" s="40">
        <f ca="1">IF(N$4&gt;'Set-up'!$B$14,0,IF(ISNA(MATCH(N$4,TBMonths,0))=TRUE,0,SUMIF(TBAll,$A24&amp;"*",OFFSET(TBCY!$C$4,1,MATCH(N$4,TBMonths,0),TBRowCount,1)))-IF(ISNA(MATCH(N$4,TBMonths,0))=TRUE,0,SUMIF(TBAll,$A24&amp;"*",OFFSET(TBCY!$C$4,1,MATCH(N$4,TBMonths,0)-1,TBRowCount,1))))</f>
        <v>0</v>
      </c>
      <c r="O24" s="40">
        <f t="shared" ca="1" si="4"/>
        <v>0</v>
      </c>
    </row>
    <row r="25" spans="1:15" ht="15" customHeight="1" x14ac:dyDescent="0.35">
      <c r="A25" s="19" t="s">
        <v>226</v>
      </c>
      <c r="B25" s="9" t="str">
        <f ca="1">IF(ISNA(VLOOKUP($A25,TBAll,COLUMN(TBCY!$C$4),0))=TRUE,"error!",VLOOKUP($A25,TBAll,COLUMN(TBCY!$C$4),0))</f>
        <v>Stationery</v>
      </c>
      <c r="C25" s="40">
        <f ca="1">IF(C$4&gt;'Set-up'!$B$14,0,IF(ISNA(MATCH(C$4,TBMonths,0))=TRUE,0,SUMIF(TBAll,$A25&amp;"*",OFFSET(TBCY!$C$4,1,MATCH(C$4,TBMonths,0),TBRowCount,1)))-IF(ISNA(MATCH(C$4,TBMonths,0))=TRUE,0,SUMIF(TBAll,$A25&amp;"*",OFFSET(TBCY!$C$4,1,MATCH(C$4,TBMonths,0)-1,TBRowCount,1))))</f>
        <v>0</v>
      </c>
      <c r="D25" s="40">
        <f ca="1">IF(D$4&gt;'Set-up'!$B$14,0,IF(ISNA(MATCH(D$4,TBMonths,0))=TRUE,0,SUMIF(TBAll,$A25&amp;"*",OFFSET(TBCY!$C$4,1,MATCH(D$4,TBMonths,0),TBRowCount,1)))-IF(ISNA(MATCH(D$4,TBMonths,0))=TRUE,0,SUMIF(TBAll,$A25&amp;"*",OFFSET(TBCY!$C$4,1,MATCH(D$4,TBMonths,0)-1,TBRowCount,1))))</f>
        <v>0</v>
      </c>
      <c r="E25" s="40">
        <f ca="1">IF(E$4&gt;'Set-up'!$B$14,0,IF(ISNA(MATCH(E$4,TBMonths,0))=TRUE,0,SUMIF(TBAll,$A25&amp;"*",OFFSET(TBCY!$C$4,1,MATCH(E$4,TBMonths,0),TBRowCount,1)))-IF(ISNA(MATCH(E$4,TBMonths,0))=TRUE,0,SUMIF(TBAll,$A25&amp;"*",OFFSET(TBCY!$C$4,1,MATCH(E$4,TBMonths,0)-1,TBRowCount,1))))</f>
        <v>0</v>
      </c>
      <c r="F25" s="40">
        <f ca="1">IF(F$4&gt;'Set-up'!$B$14,0,IF(ISNA(MATCH(F$4,TBMonths,0))=TRUE,0,SUMIF(TBAll,$A25&amp;"*",OFFSET(TBCY!$C$4,1,MATCH(F$4,TBMonths,0),TBRowCount,1)))-IF(ISNA(MATCH(F$4,TBMonths,0))=TRUE,0,SUMIF(TBAll,$A25&amp;"*",OFFSET(TBCY!$C$4,1,MATCH(F$4,TBMonths,0)-1,TBRowCount,1))))</f>
        <v>0</v>
      </c>
      <c r="G25" s="40">
        <f ca="1">IF(G$4&gt;'Set-up'!$B$14,0,IF(ISNA(MATCH(G$4,TBMonths,0))=TRUE,0,SUMIF(TBAll,$A25&amp;"*",OFFSET(TBCY!$C$4,1,MATCH(G$4,TBMonths,0),TBRowCount,1)))-IF(ISNA(MATCH(G$4,TBMonths,0))=TRUE,0,SUMIF(TBAll,$A25&amp;"*",OFFSET(TBCY!$C$4,1,MATCH(G$4,TBMonths,0)-1,TBRowCount,1))))</f>
        <v>0</v>
      </c>
      <c r="H25" s="40">
        <f ca="1">IF(H$4&gt;'Set-up'!$B$14,0,IF(ISNA(MATCH(H$4,TBMonths,0))=TRUE,0,SUMIF(TBAll,$A25&amp;"*",OFFSET(TBCY!$C$4,1,MATCH(H$4,TBMonths,0),TBRowCount,1)))-IF(ISNA(MATCH(H$4,TBMonths,0))=TRUE,0,SUMIF(TBAll,$A25&amp;"*",OFFSET(TBCY!$C$4,1,MATCH(H$4,TBMonths,0)-1,TBRowCount,1))))</f>
        <v>0</v>
      </c>
      <c r="I25" s="40">
        <f ca="1">IF(I$4&gt;'Set-up'!$B$14,0,IF(ISNA(MATCH(I$4,TBMonths,0))=TRUE,0,SUMIF(TBAll,$A25&amp;"*",OFFSET(TBCY!$C$4,1,MATCH(I$4,TBMonths,0),TBRowCount,1)))-IF(ISNA(MATCH(I$4,TBMonths,0))=TRUE,0,SUMIF(TBAll,$A25&amp;"*",OFFSET(TBCY!$C$4,1,MATCH(I$4,TBMonths,0)-1,TBRowCount,1))))</f>
        <v>0</v>
      </c>
      <c r="J25" s="40">
        <f ca="1">IF(J$4&gt;'Set-up'!$B$14,0,IF(ISNA(MATCH(J$4,TBMonths,0))=TRUE,0,SUMIF(TBAll,$A25&amp;"*",OFFSET(TBCY!$C$4,1,MATCH(J$4,TBMonths,0),TBRowCount,1)))-IF(ISNA(MATCH(J$4,TBMonths,0))=TRUE,0,SUMIF(TBAll,$A25&amp;"*",OFFSET(TBCY!$C$4,1,MATCH(J$4,TBMonths,0)-1,TBRowCount,1))))</f>
        <v>0</v>
      </c>
      <c r="K25" s="40">
        <f ca="1">IF(K$4&gt;'Set-up'!$B$14,0,IF(ISNA(MATCH(K$4,TBMonths,0))=TRUE,0,SUMIF(TBAll,$A25&amp;"*",OFFSET(TBCY!$C$4,1,MATCH(K$4,TBMonths,0),TBRowCount,1)))-IF(ISNA(MATCH(K$4,TBMonths,0))=TRUE,0,SUMIF(TBAll,$A25&amp;"*",OFFSET(TBCY!$C$4,1,MATCH(K$4,TBMonths,0)-1,TBRowCount,1))))</f>
        <v>0</v>
      </c>
      <c r="L25" s="40">
        <f ca="1">IF(L$4&gt;'Set-up'!$B$14,0,IF(ISNA(MATCH(L$4,TBMonths,0))=TRUE,0,SUMIF(TBAll,$A25&amp;"*",OFFSET(TBCY!$C$4,1,MATCH(L$4,TBMonths,0),TBRowCount,1)))-IF(ISNA(MATCH(L$4,TBMonths,0))=TRUE,0,SUMIF(TBAll,$A25&amp;"*",OFFSET(TBCY!$C$4,1,MATCH(L$4,TBMonths,0)-1,TBRowCount,1))))</f>
        <v>0</v>
      </c>
      <c r="M25" s="40">
        <f ca="1">IF(M$4&gt;'Set-up'!$B$14,0,IF(ISNA(MATCH(M$4,TBMonths,0))=TRUE,0,SUMIF(TBAll,$A25&amp;"*",OFFSET(TBCY!$C$4,1,MATCH(M$4,TBMonths,0),TBRowCount,1)))-IF(ISNA(MATCH(M$4,TBMonths,0))=TRUE,0,SUMIF(TBAll,$A25&amp;"*",OFFSET(TBCY!$C$4,1,MATCH(M$4,TBMonths,0)-1,TBRowCount,1))))</f>
        <v>0</v>
      </c>
      <c r="N25" s="40">
        <f ca="1">IF(N$4&gt;'Set-up'!$B$14,0,IF(ISNA(MATCH(N$4,TBMonths,0))=TRUE,0,SUMIF(TBAll,$A25&amp;"*",OFFSET(TBCY!$C$4,1,MATCH(N$4,TBMonths,0),TBRowCount,1)))-IF(ISNA(MATCH(N$4,TBMonths,0))=TRUE,0,SUMIF(TBAll,$A25&amp;"*",OFFSET(TBCY!$C$4,1,MATCH(N$4,TBMonths,0)-1,TBRowCount,1))))</f>
        <v>0</v>
      </c>
      <c r="O25" s="40">
        <f t="shared" ca="1" si="4"/>
        <v>0</v>
      </c>
    </row>
    <row r="26" spans="1:15" ht="15" customHeight="1" x14ac:dyDescent="0.35">
      <c r="A26" s="19" t="s">
        <v>227</v>
      </c>
      <c r="B26" s="9" t="str">
        <f ca="1">IF(ISNA(VLOOKUP($A26,TBAll,COLUMN(TBCY!$C$4),0))=TRUE,"error!",VLOOKUP($A26,TBAll,COLUMN(TBCY!$C$4),0))</f>
        <v>Subscriptions &amp; Memberships</v>
      </c>
      <c r="C26" s="40">
        <f ca="1">IF(C$4&gt;'Set-up'!$B$14,0,IF(ISNA(MATCH(C$4,TBMonths,0))=TRUE,0,SUMIF(TBAll,$A26&amp;"*",OFFSET(TBCY!$C$4,1,MATCH(C$4,TBMonths,0),TBRowCount,1)))-IF(ISNA(MATCH(C$4,TBMonths,0))=TRUE,0,SUMIF(TBAll,$A26&amp;"*",OFFSET(TBCY!$C$4,1,MATCH(C$4,TBMonths,0)-1,TBRowCount,1))))</f>
        <v>0</v>
      </c>
      <c r="D26" s="40">
        <f ca="1">IF(D$4&gt;'Set-up'!$B$14,0,IF(ISNA(MATCH(D$4,TBMonths,0))=TRUE,0,SUMIF(TBAll,$A26&amp;"*",OFFSET(TBCY!$C$4,1,MATCH(D$4,TBMonths,0),TBRowCount,1)))-IF(ISNA(MATCH(D$4,TBMonths,0))=TRUE,0,SUMIF(TBAll,$A26&amp;"*",OFFSET(TBCY!$C$4,1,MATCH(D$4,TBMonths,0)-1,TBRowCount,1))))</f>
        <v>0</v>
      </c>
      <c r="E26" s="40">
        <f ca="1">IF(E$4&gt;'Set-up'!$B$14,0,IF(ISNA(MATCH(E$4,TBMonths,0))=TRUE,0,SUMIF(TBAll,$A26&amp;"*",OFFSET(TBCY!$C$4,1,MATCH(E$4,TBMonths,0),TBRowCount,1)))-IF(ISNA(MATCH(E$4,TBMonths,0))=TRUE,0,SUMIF(TBAll,$A26&amp;"*",OFFSET(TBCY!$C$4,1,MATCH(E$4,TBMonths,0)-1,TBRowCount,1))))</f>
        <v>0</v>
      </c>
      <c r="F26" s="40">
        <f ca="1">IF(F$4&gt;'Set-up'!$B$14,0,IF(ISNA(MATCH(F$4,TBMonths,0))=TRUE,0,SUMIF(TBAll,$A26&amp;"*",OFFSET(TBCY!$C$4,1,MATCH(F$4,TBMonths,0),TBRowCount,1)))-IF(ISNA(MATCH(F$4,TBMonths,0))=TRUE,0,SUMIF(TBAll,$A26&amp;"*",OFFSET(TBCY!$C$4,1,MATCH(F$4,TBMonths,0)-1,TBRowCount,1))))</f>
        <v>0</v>
      </c>
      <c r="G26" s="40">
        <f ca="1">IF(G$4&gt;'Set-up'!$B$14,0,IF(ISNA(MATCH(G$4,TBMonths,0))=TRUE,0,SUMIF(TBAll,$A26&amp;"*",OFFSET(TBCY!$C$4,1,MATCH(G$4,TBMonths,0),TBRowCount,1)))-IF(ISNA(MATCH(G$4,TBMonths,0))=TRUE,0,SUMIF(TBAll,$A26&amp;"*",OFFSET(TBCY!$C$4,1,MATCH(G$4,TBMonths,0)-1,TBRowCount,1))))</f>
        <v>0</v>
      </c>
      <c r="H26" s="40">
        <f ca="1">IF(H$4&gt;'Set-up'!$B$14,0,IF(ISNA(MATCH(H$4,TBMonths,0))=TRUE,0,SUMIF(TBAll,$A26&amp;"*",OFFSET(TBCY!$C$4,1,MATCH(H$4,TBMonths,0),TBRowCount,1)))-IF(ISNA(MATCH(H$4,TBMonths,0))=TRUE,0,SUMIF(TBAll,$A26&amp;"*",OFFSET(TBCY!$C$4,1,MATCH(H$4,TBMonths,0)-1,TBRowCount,1))))</f>
        <v>0</v>
      </c>
      <c r="I26" s="40">
        <f ca="1">IF(I$4&gt;'Set-up'!$B$14,0,IF(ISNA(MATCH(I$4,TBMonths,0))=TRUE,0,SUMIF(TBAll,$A26&amp;"*",OFFSET(TBCY!$C$4,1,MATCH(I$4,TBMonths,0),TBRowCount,1)))-IF(ISNA(MATCH(I$4,TBMonths,0))=TRUE,0,SUMIF(TBAll,$A26&amp;"*",OFFSET(TBCY!$C$4,1,MATCH(I$4,TBMonths,0)-1,TBRowCount,1))))</f>
        <v>0</v>
      </c>
      <c r="J26" s="40">
        <f ca="1">IF(J$4&gt;'Set-up'!$B$14,0,IF(ISNA(MATCH(J$4,TBMonths,0))=TRUE,0,SUMIF(TBAll,$A26&amp;"*",OFFSET(TBCY!$C$4,1,MATCH(J$4,TBMonths,0),TBRowCount,1)))-IF(ISNA(MATCH(J$4,TBMonths,0))=TRUE,0,SUMIF(TBAll,$A26&amp;"*",OFFSET(TBCY!$C$4,1,MATCH(J$4,TBMonths,0)-1,TBRowCount,1))))</f>
        <v>0</v>
      </c>
      <c r="K26" s="40">
        <f ca="1">IF(K$4&gt;'Set-up'!$B$14,0,IF(ISNA(MATCH(K$4,TBMonths,0))=TRUE,0,SUMIF(TBAll,$A26&amp;"*",OFFSET(TBCY!$C$4,1,MATCH(K$4,TBMonths,0),TBRowCount,1)))-IF(ISNA(MATCH(K$4,TBMonths,0))=TRUE,0,SUMIF(TBAll,$A26&amp;"*",OFFSET(TBCY!$C$4,1,MATCH(K$4,TBMonths,0)-1,TBRowCount,1))))</f>
        <v>0</v>
      </c>
      <c r="L26" s="40">
        <f ca="1">IF(L$4&gt;'Set-up'!$B$14,0,IF(ISNA(MATCH(L$4,TBMonths,0))=TRUE,0,SUMIF(TBAll,$A26&amp;"*",OFFSET(TBCY!$C$4,1,MATCH(L$4,TBMonths,0),TBRowCount,1)))-IF(ISNA(MATCH(L$4,TBMonths,0))=TRUE,0,SUMIF(TBAll,$A26&amp;"*",OFFSET(TBCY!$C$4,1,MATCH(L$4,TBMonths,0)-1,TBRowCount,1))))</f>
        <v>0</v>
      </c>
      <c r="M26" s="40">
        <f ca="1">IF(M$4&gt;'Set-up'!$B$14,0,IF(ISNA(MATCH(M$4,TBMonths,0))=TRUE,0,SUMIF(TBAll,$A26&amp;"*",OFFSET(TBCY!$C$4,1,MATCH(M$4,TBMonths,0),TBRowCount,1)))-IF(ISNA(MATCH(M$4,TBMonths,0))=TRUE,0,SUMIF(TBAll,$A26&amp;"*",OFFSET(TBCY!$C$4,1,MATCH(M$4,TBMonths,0)-1,TBRowCount,1))))</f>
        <v>0</v>
      </c>
      <c r="N26" s="40">
        <f ca="1">IF(N$4&gt;'Set-up'!$B$14,0,IF(ISNA(MATCH(N$4,TBMonths,0))=TRUE,0,SUMIF(TBAll,$A26&amp;"*",OFFSET(TBCY!$C$4,1,MATCH(N$4,TBMonths,0),TBRowCount,1)))-IF(ISNA(MATCH(N$4,TBMonths,0))=TRUE,0,SUMIF(TBAll,$A26&amp;"*",OFFSET(TBCY!$C$4,1,MATCH(N$4,TBMonths,0)-1,TBRowCount,1))))</f>
        <v>0</v>
      </c>
      <c r="O26" s="40">
        <f t="shared" ca="1" si="4"/>
        <v>0</v>
      </c>
    </row>
    <row r="27" spans="1:15" ht="15" customHeight="1" x14ac:dyDescent="0.35">
      <c r="A27" s="19" t="s">
        <v>228</v>
      </c>
      <c r="B27" s="9" t="str">
        <f ca="1">IF(ISNA(VLOOKUP($A27,TBAll,COLUMN(TBCY!$C$4),0))=TRUE,"error!",VLOOKUP($A27,TBAll,COLUMN(TBCY!$C$4),0))</f>
        <v>Telephone &amp; Internet</v>
      </c>
      <c r="C27" s="40">
        <f ca="1">IF(C$4&gt;'Set-up'!$B$14,0,IF(ISNA(MATCH(C$4,TBMonths,0))=TRUE,0,SUMIF(TBAll,$A27&amp;"*",OFFSET(TBCY!$C$4,1,MATCH(C$4,TBMonths,0),TBRowCount,1)))-IF(ISNA(MATCH(C$4,TBMonths,0))=TRUE,0,SUMIF(TBAll,$A27&amp;"*",OFFSET(TBCY!$C$4,1,MATCH(C$4,TBMonths,0)-1,TBRowCount,1))))</f>
        <v>0</v>
      </c>
      <c r="D27" s="40">
        <f ca="1">IF(D$4&gt;'Set-up'!$B$14,0,IF(ISNA(MATCH(D$4,TBMonths,0))=TRUE,0,SUMIF(TBAll,$A27&amp;"*",OFFSET(TBCY!$C$4,1,MATCH(D$4,TBMonths,0),TBRowCount,1)))-IF(ISNA(MATCH(D$4,TBMonths,0))=TRUE,0,SUMIF(TBAll,$A27&amp;"*",OFFSET(TBCY!$C$4,1,MATCH(D$4,TBMonths,0)-1,TBRowCount,1))))</f>
        <v>0</v>
      </c>
      <c r="E27" s="40">
        <f ca="1">IF(E$4&gt;'Set-up'!$B$14,0,IF(ISNA(MATCH(E$4,TBMonths,0))=TRUE,0,SUMIF(TBAll,$A27&amp;"*",OFFSET(TBCY!$C$4,1,MATCH(E$4,TBMonths,0),TBRowCount,1)))-IF(ISNA(MATCH(E$4,TBMonths,0))=TRUE,0,SUMIF(TBAll,$A27&amp;"*",OFFSET(TBCY!$C$4,1,MATCH(E$4,TBMonths,0)-1,TBRowCount,1))))</f>
        <v>0</v>
      </c>
      <c r="F27" s="40">
        <f ca="1">IF(F$4&gt;'Set-up'!$B$14,0,IF(ISNA(MATCH(F$4,TBMonths,0))=TRUE,0,SUMIF(TBAll,$A27&amp;"*",OFFSET(TBCY!$C$4,1,MATCH(F$4,TBMonths,0),TBRowCount,1)))-IF(ISNA(MATCH(F$4,TBMonths,0))=TRUE,0,SUMIF(TBAll,$A27&amp;"*",OFFSET(TBCY!$C$4,1,MATCH(F$4,TBMonths,0)-1,TBRowCount,1))))</f>
        <v>0</v>
      </c>
      <c r="G27" s="40">
        <f ca="1">IF(G$4&gt;'Set-up'!$B$14,0,IF(ISNA(MATCH(G$4,TBMonths,0))=TRUE,0,SUMIF(TBAll,$A27&amp;"*",OFFSET(TBCY!$C$4,1,MATCH(G$4,TBMonths,0),TBRowCount,1)))-IF(ISNA(MATCH(G$4,TBMonths,0))=TRUE,0,SUMIF(TBAll,$A27&amp;"*",OFFSET(TBCY!$C$4,1,MATCH(G$4,TBMonths,0)-1,TBRowCount,1))))</f>
        <v>0</v>
      </c>
      <c r="H27" s="40">
        <f ca="1">IF(H$4&gt;'Set-up'!$B$14,0,IF(ISNA(MATCH(H$4,TBMonths,0))=TRUE,0,SUMIF(TBAll,$A27&amp;"*",OFFSET(TBCY!$C$4,1,MATCH(H$4,TBMonths,0),TBRowCount,1)))-IF(ISNA(MATCH(H$4,TBMonths,0))=TRUE,0,SUMIF(TBAll,$A27&amp;"*",OFFSET(TBCY!$C$4,1,MATCH(H$4,TBMonths,0)-1,TBRowCount,1))))</f>
        <v>0</v>
      </c>
      <c r="I27" s="40">
        <f ca="1">IF(I$4&gt;'Set-up'!$B$14,0,IF(ISNA(MATCH(I$4,TBMonths,0))=TRUE,0,SUMIF(TBAll,$A27&amp;"*",OFFSET(TBCY!$C$4,1,MATCH(I$4,TBMonths,0),TBRowCount,1)))-IF(ISNA(MATCH(I$4,TBMonths,0))=TRUE,0,SUMIF(TBAll,$A27&amp;"*",OFFSET(TBCY!$C$4,1,MATCH(I$4,TBMonths,0)-1,TBRowCount,1))))</f>
        <v>0</v>
      </c>
      <c r="J27" s="40">
        <f ca="1">IF(J$4&gt;'Set-up'!$B$14,0,IF(ISNA(MATCH(J$4,TBMonths,0))=TRUE,0,SUMIF(TBAll,$A27&amp;"*",OFFSET(TBCY!$C$4,1,MATCH(J$4,TBMonths,0),TBRowCount,1)))-IF(ISNA(MATCH(J$4,TBMonths,0))=TRUE,0,SUMIF(TBAll,$A27&amp;"*",OFFSET(TBCY!$C$4,1,MATCH(J$4,TBMonths,0)-1,TBRowCount,1))))</f>
        <v>0</v>
      </c>
      <c r="K27" s="40">
        <f ca="1">IF(K$4&gt;'Set-up'!$B$14,0,IF(ISNA(MATCH(K$4,TBMonths,0))=TRUE,0,SUMIF(TBAll,$A27&amp;"*",OFFSET(TBCY!$C$4,1,MATCH(K$4,TBMonths,0),TBRowCount,1)))-IF(ISNA(MATCH(K$4,TBMonths,0))=TRUE,0,SUMIF(TBAll,$A27&amp;"*",OFFSET(TBCY!$C$4,1,MATCH(K$4,TBMonths,0)-1,TBRowCount,1))))</f>
        <v>0</v>
      </c>
      <c r="L27" s="40">
        <f ca="1">IF(L$4&gt;'Set-up'!$B$14,0,IF(ISNA(MATCH(L$4,TBMonths,0))=TRUE,0,SUMIF(TBAll,$A27&amp;"*",OFFSET(TBCY!$C$4,1,MATCH(L$4,TBMonths,0),TBRowCount,1)))-IF(ISNA(MATCH(L$4,TBMonths,0))=TRUE,0,SUMIF(TBAll,$A27&amp;"*",OFFSET(TBCY!$C$4,1,MATCH(L$4,TBMonths,0)-1,TBRowCount,1))))</f>
        <v>0</v>
      </c>
      <c r="M27" s="40">
        <f ca="1">IF(M$4&gt;'Set-up'!$B$14,0,IF(ISNA(MATCH(M$4,TBMonths,0))=TRUE,0,SUMIF(TBAll,$A27&amp;"*",OFFSET(TBCY!$C$4,1,MATCH(M$4,TBMonths,0),TBRowCount,1)))-IF(ISNA(MATCH(M$4,TBMonths,0))=TRUE,0,SUMIF(TBAll,$A27&amp;"*",OFFSET(TBCY!$C$4,1,MATCH(M$4,TBMonths,0)-1,TBRowCount,1))))</f>
        <v>0</v>
      </c>
      <c r="N27" s="40">
        <f ca="1">IF(N$4&gt;'Set-up'!$B$14,0,IF(ISNA(MATCH(N$4,TBMonths,0))=TRUE,0,SUMIF(TBAll,$A27&amp;"*",OFFSET(TBCY!$C$4,1,MATCH(N$4,TBMonths,0),TBRowCount,1)))-IF(ISNA(MATCH(N$4,TBMonths,0))=TRUE,0,SUMIF(TBAll,$A27&amp;"*",OFFSET(TBCY!$C$4,1,MATCH(N$4,TBMonths,0)-1,TBRowCount,1))))</f>
        <v>0</v>
      </c>
      <c r="O27" s="40">
        <f t="shared" ca="1" si="4"/>
        <v>0</v>
      </c>
    </row>
    <row r="28" spans="1:15" ht="15" customHeight="1" x14ac:dyDescent="0.35">
      <c r="A28" s="19" t="s">
        <v>229</v>
      </c>
      <c r="B28" s="9" t="str">
        <f ca="1">IF(ISNA(VLOOKUP($A28,TBAll,COLUMN(TBCY!$C$4),0))=TRUE,"error!",VLOOKUP($A28,TBAll,COLUMN(TBCY!$C$4),0))</f>
        <v>Training</v>
      </c>
      <c r="C28" s="40">
        <f ca="1">IF(C$4&gt;'Set-up'!$B$14,0,IF(ISNA(MATCH(C$4,TBMonths,0))=TRUE,0,SUMIF(TBAll,$A28&amp;"*",OFFSET(TBCY!$C$4,1,MATCH(C$4,TBMonths,0),TBRowCount,1)))-IF(ISNA(MATCH(C$4,TBMonths,0))=TRUE,0,SUMIF(TBAll,$A28&amp;"*",OFFSET(TBCY!$C$4,1,MATCH(C$4,TBMonths,0)-1,TBRowCount,1))))</f>
        <v>0</v>
      </c>
      <c r="D28" s="40">
        <f ca="1">IF(D$4&gt;'Set-up'!$B$14,0,IF(ISNA(MATCH(D$4,TBMonths,0))=TRUE,0,SUMIF(TBAll,$A28&amp;"*",OFFSET(TBCY!$C$4,1,MATCH(D$4,TBMonths,0),TBRowCount,1)))-IF(ISNA(MATCH(D$4,TBMonths,0))=TRUE,0,SUMIF(TBAll,$A28&amp;"*",OFFSET(TBCY!$C$4,1,MATCH(D$4,TBMonths,0)-1,TBRowCount,1))))</f>
        <v>0</v>
      </c>
      <c r="E28" s="40">
        <f ca="1">IF(E$4&gt;'Set-up'!$B$14,0,IF(ISNA(MATCH(E$4,TBMonths,0))=TRUE,0,SUMIF(TBAll,$A28&amp;"*",OFFSET(TBCY!$C$4,1,MATCH(E$4,TBMonths,0),TBRowCount,1)))-IF(ISNA(MATCH(E$4,TBMonths,0))=TRUE,0,SUMIF(TBAll,$A28&amp;"*",OFFSET(TBCY!$C$4,1,MATCH(E$4,TBMonths,0)-1,TBRowCount,1))))</f>
        <v>0</v>
      </c>
      <c r="F28" s="40">
        <f ca="1">IF(F$4&gt;'Set-up'!$B$14,0,IF(ISNA(MATCH(F$4,TBMonths,0))=TRUE,0,SUMIF(TBAll,$A28&amp;"*",OFFSET(TBCY!$C$4,1,MATCH(F$4,TBMonths,0),TBRowCount,1)))-IF(ISNA(MATCH(F$4,TBMonths,0))=TRUE,0,SUMIF(TBAll,$A28&amp;"*",OFFSET(TBCY!$C$4,1,MATCH(F$4,TBMonths,0)-1,TBRowCount,1))))</f>
        <v>0</v>
      </c>
      <c r="G28" s="40">
        <f ca="1">IF(G$4&gt;'Set-up'!$B$14,0,IF(ISNA(MATCH(G$4,TBMonths,0))=TRUE,0,SUMIF(TBAll,$A28&amp;"*",OFFSET(TBCY!$C$4,1,MATCH(G$4,TBMonths,0),TBRowCount,1)))-IF(ISNA(MATCH(G$4,TBMonths,0))=TRUE,0,SUMIF(TBAll,$A28&amp;"*",OFFSET(TBCY!$C$4,1,MATCH(G$4,TBMonths,0)-1,TBRowCount,1))))</f>
        <v>0</v>
      </c>
      <c r="H28" s="40">
        <f ca="1">IF(H$4&gt;'Set-up'!$B$14,0,IF(ISNA(MATCH(H$4,TBMonths,0))=TRUE,0,SUMIF(TBAll,$A28&amp;"*",OFFSET(TBCY!$C$4,1,MATCH(H$4,TBMonths,0),TBRowCount,1)))-IF(ISNA(MATCH(H$4,TBMonths,0))=TRUE,0,SUMIF(TBAll,$A28&amp;"*",OFFSET(TBCY!$C$4,1,MATCH(H$4,TBMonths,0)-1,TBRowCount,1))))</f>
        <v>0</v>
      </c>
      <c r="I28" s="40">
        <f ca="1">IF(I$4&gt;'Set-up'!$B$14,0,IF(ISNA(MATCH(I$4,TBMonths,0))=TRUE,0,SUMIF(TBAll,$A28&amp;"*",OFFSET(TBCY!$C$4,1,MATCH(I$4,TBMonths,0),TBRowCount,1)))-IF(ISNA(MATCH(I$4,TBMonths,0))=TRUE,0,SUMIF(TBAll,$A28&amp;"*",OFFSET(TBCY!$C$4,1,MATCH(I$4,TBMonths,0)-1,TBRowCount,1))))</f>
        <v>0</v>
      </c>
      <c r="J28" s="40">
        <f ca="1">IF(J$4&gt;'Set-up'!$B$14,0,IF(ISNA(MATCH(J$4,TBMonths,0))=TRUE,0,SUMIF(TBAll,$A28&amp;"*",OFFSET(TBCY!$C$4,1,MATCH(J$4,TBMonths,0),TBRowCount,1)))-IF(ISNA(MATCH(J$4,TBMonths,0))=TRUE,0,SUMIF(TBAll,$A28&amp;"*",OFFSET(TBCY!$C$4,1,MATCH(J$4,TBMonths,0)-1,TBRowCount,1))))</f>
        <v>0</v>
      </c>
      <c r="K28" s="40">
        <f ca="1">IF(K$4&gt;'Set-up'!$B$14,0,IF(ISNA(MATCH(K$4,TBMonths,0))=TRUE,0,SUMIF(TBAll,$A28&amp;"*",OFFSET(TBCY!$C$4,1,MATCH(K$4,TBMonths,0),TBRowCount,1)))-IF(ISNA(MATCH(K$4,TBMonths,0))=TRUE,0,SUMIF(TBAll,$A28&amp;"*",OFFSET(TBCY!$C$4,1,MATCH(K$4,TBMonths,0)-1,TBRowCount,1))))</f>
        <v>0</v>
      </c>
      <c r="L28" s="40">
        <f ca="1">IF(L$4&gt;'Set-up'!$B$14,0,IF(ISNA(MATCH(L$4,TBMonths,0))=TRUE,0,SUMIF(TBAll,$A28&amp;"*",OFFSET(TBCY!$C$4,1,MATCH(L$4,TBMonths,0),TBRowCount,1)))-IF(ISNA(MATCH(L$4,TBMonths,0))=TRUE,0,SUMIF(TBAll,$A28&amp;"*",OFFSET(TBCY!$C$4,1,MATCH(L$4,TBMonths,0)-1,TBRowCount,1))))</f>
        <v>0</v>
      </c>
      <c r="M28" s="40">
        <f ca="1">IF(M$4&gt;'Set-up'!$B$14,0,IF(ISNA(MATCH(M$4,TBMonths,0))=TRUE,0,SUMIF(TBAll,$A28&amp;"*",OFFSET(TBCY!$C$4,1,MATCH(M$4,TBMonths,0),TBRowCount,1)))-IF(ISNA(MATCH(M$4,TBMonths,0))=TRUE,0,SUMIF(TBAll,$A28&amp;"*",OFFSET(TBCY!$C$4,1,MATCH(M$4,TBMonths,0)-1,TBRowCount,1))))</f>
        <v>0</v>
      </c>
      <c r="N28" s="40">
        <f ca="1">IF(N$4&gt;'Set-up'!$B$14,0,IF(ISNA(MATCH(N$4,TBMonths,0))=TRUE,0,SUMIF(TBAll,$A28&amp;"*",OFFSET(TBCY!$C$4,1,MATCH(N$4,TBMonths,0),TBRowCount,1)))-IF(ISNA(MATCH(N$4,TBMonths,0))=TRUE,0,SUMIF(TBAll,$A28&amp;"*",OFFSET(TBCY!$C$4,1,MATCH(N$4,TBMonths,0)-1,TBRowCount,1))))</f>
        <v>0</v>
      </c>
      <c r="O28" s="40">
        <f t="shared" ca="1" si="4"/>
        <v>0</v>
      </c>
    </row>
    <row r="29" spans="1:15" ht="15" customHeight="1" x14ac:dyDescent="0.35">
      <c r="A29" s="19" t="s">
        <v>230</v>
      </c>
      <c r="B29" s="9" t="str">
        <f ca="1">IF(ISNA(VLOOKUP($A29,TBAll,COLUMN(TBCY!$C$4),0))=TRUE,"error!",VLOOKUP($A29,TBAll,COLUMN(TBCY!$C$4),0))</f>
        <v>Travelling &amp; Accommodation</v>
      </c>
      <c r="C29" s="40">
        <f ca="1">IF(C$4&gt;'Set-up'!$B$14,0,IF(ISNA(MATCH(C$4,TBMonths,0))=TRUE,0,SUMIF(TBAll,$A29&amp;"*",OFFSET(TBCY!$C$4,1,MATCH(C$4,TBMonths,0),TBRowCount,1)))-IF(ISNA(MATCH(C$4,TBMonths,0))=TRUE,0,SUMIF(TBAll,$A29&amp;"*",OFFSET(TBCY!$C$4,1,MATCH(C$4,TBMonths,0)-1,TBRowCount,1))))</f>
        <v>0</v>
      </c>
      <c r="D29" s="40">
        <f ca="1">IF(D$4&gt;'Set-up'!$B$14,0,IF(ISNA(MATCH(D$4,TBMonths,0))=TRUE,0,SUMIF(TBAll,$A29&amp;"*",OFFSET(TBCY!$C$4,1,MATCH(D$4,TBMonths,0),TBRowCount,1)))-IF(ISNA(MATCH(D$4,TBMonths,0))=TRUE,0,SUMIF(TBAll,$A29&amp;"*",OFFSET(TBCY!$C$4,1,MATCH(D$4,TBMonths,0)-1,TBRowCount,1))))</f>
        <v>0</v>
      </c>
      <c r="E29" s="40">
        <f ca="1">IF(E$4&gt;'Set-up'!$B$14,0,IF(ISNA(MATCH(E$4,TBMonths,0))=TRUE,0,SUMIF(TBAll,$A29&amp;"*",OFFSET(TBCY!$C$4,1,MATCH(E$4,TBMonths,0),TBRowCount,1)))-IF(ISNA(MATCH(E$4,TBMonths,0))=TRUE,0,SUMIF(TBAll,$A29&amp;"*",OFFSET(TBCY!$C$4,1,MATCH(E$4,TBMonths,0)-1,TBRowCount,1))))</f>
        <v>0</v>
      </c>
      <c r="F29" s="40">
        <f ca="1">IF(F$4&gt;'Set-up'!$B$14,0,IF(ISNA(MATCH(F$4,TBMonths,0))=TRUE,0,SUMIF(TBAll,$A29&amp;"*",OFFSET(TBCY!$C$4,1,MATCH(F$4,TBMonths,0),TBRowCount,1)))-IF(ISNA(MATCH(F$4,TBMonths,0))=TRUE,0,SUMIF(TBAll,$A29&amp;"*",OFFSET(TBCY!$C$4,1,MATCH(F$4,TBMonths,0)-1,TBRowCount,1))))</f>
        <v>0</v>
      </c>
      <c r="G29" s="40">
        <f ca="1">IF(G$4&gt;'Set-up'!$B$14,0,IF(ISNA(MATCH(G$4,TBMonths,0))=TRUE,0,SUMIF(TBAll,$A29&amp;"*",OFFSET(TBCY!$C$4,1,MATCH(G$4,TBMonths,0),TBRowCount,1)))-IF(ISNA(MATCH(G$4,TBMonths,0))=TRUE,0,SUMIF(TBAll,$A29&amp;"*",OFFSET(TBCY!$C$4,1,MATCH(G$4,TBMonths,0)-1,TBRowCount,1))))</f>
        <v>0</v>
      </c>
      <c r="H29" s="40">
        <f ca="1">IF(H$4&gt;'Set-up'!$B$14,0,IF(ISNA(MATCH(H$4,TBMonths,0))=TRUE,0,SUMIF(TBAll,$A29&amp;"*",OFFSET(TBCY!$C$4,1,MATCH(H$4,TBMonths,0),TBRowCount,1)))-IF(ISNA(MATCH(H$4,TBMonths,0))=TRUE,0,SUMIF(TBAll,$A29&amp;"*",OFFSET(TBCY!$C$4,1,MATCH(H$4,TBMonths,0)-1,TBRowCount,1))))</f>
        <v>0</v>
      </c>
      <c r="I29" s="40">
        <f ca="1">IF(I$4&gt;'Set-up'!$B$14,0,IF(ISNA(MATCH(I$4,TBMonths,0))=TRUE,0,SUMIF(TBAll,$A29&amp;"*",OFFSET(TBCY!$C$4,1,MATCH(I$4,TBMonths,0),TBRowCount,1)))-IF(ISNA(MATCH(I$4,TBMonths,0))=TRUE,0,SUMIF(TBAll,$A29&amp;"*",OFFSET(TBCY!$C$4,1,MATCH(I$4,TBMonths,0)-1,TBRowCount,1))))</f>
        <v>0</v>
      </c>
      <c r="J29" s="40">
        <f ca="1">IF(J$4&gt;'Set-up'!$B$14,0,IF(ISNA(MATCH(J$4,TBMonths,0))=TRUE,0,SUMIF(TBAll,$A29&amp;"*",OFFSET(TBCY!$C$4,1,MATCH(J$4,TBMonths,0),TBRowCount,1)))-IF(ISNA(MATCH(J$4,TBMonths,0))=TRUE,0,SUMIF(TBAll,$A29&amp;"*",OFFSET(TBCY!$C$4,1,MATCH(J$4,TBMonths,0)-1,TBRowCount,1))))</f>
        <v>0</v>
      </c>
      <c r="K29" s="40">
        <f ca="1">IF(K$4&gt;'Set-up'!$B$14,0,IF(ISNA(MATCH(K$4,TBMonths,0))=TRUE,0,SUMIF(TBAll,$A29&amp;"*",OFFSET(TBCY!$C$4,1,MATCH(K$4,TBMonths,0),TBRowCount,1)))-IF(ISNA(MATCH(K$4,TBMonths,0))=TRUE,0,SUMIF(TBAll,$A29&amp;"*",OFFSET(TBCY!$C$4,1,MATCH(K$4,TBMonths,0)-1,TBRowCount,1))))</f>
        <v>0</v>
      </c>
      <c r="L29" s="40">
        <f ca="1">IF(L$4&gt;'Set-up'!$B$14,0,IF(ISNA(MATCH(L$4,TBMonths,0))=TRUE,0,SUMIF(TBAll,$A29&amp;"*",OFFSET(TBCY!$C$4,1,MATCH(L$4,TBMonths,0),TBRowCount,1)))-IF(ISNA(MATCH(L$4,TBMonths,0))=TRUE,0,SUMIF(TBAll,$A29&amp;"*",OFFSET(TBCY!$C$4,1,MATCH(L$4,TBMonths,0)-1,TBRowCount,1))))</f>
        <v>0</v>
      </c>
      <c r="M29" s="40">
        <f ca="1">IF(M$4&gt;'Set-up'!$B$14,0,IF(ISNA(MATCH(M$4,TBMonths,0))=TRUE,0,SUMIF(TBAll,$A29&amp;"*",OFFSET(TBCY!$C$4,1,MATCH(M$4,TBMonths,0),TBRowCount,1)))-IF(ISNA(MATCH(M$4,TBMonths,0))=TRUE,0,SUMIF(TBAll,$A29&amp;"*",OFFSET(TBCY!$C$4,1,MATCH(M$4,TBMonths,0)-1,TBRowCount,1))))</f>
        <v>0</v>
      </c>
      <c r="N29" s="40">
        <f ca="1">IF(N$4&gt;'Set-up'!$B$14,0,IF(ISNA(MATCH(N$4,TBMonths,0))=TRUE,0,SUMIF(TBAll,$A29&amp;"*",OFFSET(TBCY!$C$4,1,MATCH(N$4,TBMonths,0),TBRowCount,1)))-IF(ISNA(MATCH(N$4,TBMonths,0))=TRUE,0,SUMIF(TBAll,$A29&amp;"*",OFFSET(TBCY!$C$4,1,MATCH(N$4,TBMonths,0)-1,TBRowCount,1))))</f>
        <v>0</v>
      </c>
      <c r="O29" s="40">
        <f t="shared" ca="1" si="4"/>
        <v>0</v>
      </c>
    </row>
    <row r="30" spans="1:15" ht="15" customHeight="1" x14ac:dyDescent="0.35">
      <c r="A30" s="19" t="s">
        <v>231</v>
      </c>
      <c r="B30" s="9" t="str">
        <f ca="1">IF(ISNA(VLOOKUP($A30,TBAll,COLUMN(TBCY!$C$4),0))=TRUE,"error!",VLOOKUP($A30,TBAll,COLUMN(TBCY!$C$4),0))</f>
        <v>Utilities</v>
      </c>
      <c r="C30" s="40">
        <f ca="1">IF(C$4&gt;'Set-up'!$B$14,0,IF(ISNA(MATCH(C$4,TBMonths,0))=TRUE,0,SUMIF(TBAll,$A30&amp;"*",OFFSET(TBCY!$C$4,1,MATCH(C$4,TBMonths,0),TBRowCount,1)))-IF(ISNA(MATCH(C$4,TBMonths,0))=TRUE,0,SUMIF(TBAll,$A30&amp;"*",OFFSET(TBCY!$C$4,1,MATCH(C$4,TBMonths,0)-1,TBRowCount,1))))</f>
        <v>0</v>
      </c>
      <c r="D30" s="40">
        <f ca="1">IF(D$4&gt;'Set-up'!$B$14,0,IF(ISNA(MATCH(D$4,TBMonths,0))=TRUE,0,SUMIF(TBAll,$A30&amp;"*",OFFSET(TBCY!$C$4,1,MATCH(D$4,TBMonths,0),TBRowCount,1)))-IF(ISNA(MATCH(D$4,TBMonths,0))=TRUE,0,SUMIF(TBAll,$A30&amp;"*",OFFSET(TBCY!$C$4,1,MATCH(D$4,TBMonths,0)-1,TBRowCount,1))))</f>
        <v>0</v>
      </c>
      <c r="E30" s="40">
        <f ca="1">IF(E$4&gt;'Set-up'!$B$14,0,IF(ISNA(MATCH(E$4,TBMonths,0))=TRUE,0,SUMIF(TBAll,$A30&amp;"*",OFFSET(TBCY!$C$4,1,MATCH(E$4,TBMonths,0),TBRowCount,1)))-IF(ISNA(MATCH(E$4,TBMonths,0))=TRUE,0,SUMIF(TBAll,$A30&amp;"*",OFFSET(TBCY!$C$4,1,MATCH(E$4,TBMonths,0)-1,TBRowCount,1))))</f>
        <v>0</v>
      </c>
      <c r="F30" s="40">
        <f ca="1">IF(F$4&gt;'Set-up'!$B$14,0,IF(ISNA(MATCH(F$4,TBMonths,0))=TRUE,0,SUMIF(TBAll,$A30&amp;"*",OFFSET(TBCY!$C$4,1,MATCH(F$4,TBMonths,0),TBRowCount,1)))-IF(ISNA(MATCH(F$4,TBMonths,0))=TRUE,0,SUMIF(TBAll,$A30&amp;"*",OFFSET(TBCY!$C$4,1,MATCH(F$4,TBMonths,0)-1,TBRowCount,1))))</f>
        <v>0</v>
      </c>
      <c r="G30" s="40">
        <f ca="1">IF(G$4&gt;'Set-up'!$B$14,0,IF(ISNA(MATCH(G$4,TBMonths,0))=TRUE,0,SUMIF(TBAll,$A30&amp;"*",OFFSET(TBCY!$C$4,1,MATCH(G$4,TBMonths,0),TBRowCount,1)))-IF(ISNA(MATCH(G$4,TBMonths,0))=TRUE,0,SUMIF(TBAll,$A30&amp;"*",OFFSET(TBCY!$C$4,1,MATCH(G$4,TBMonths,0)-1,TBRowCount,1))))</f>
        <v>0</v>
      </c>
      <c r="H30" s="40">
        <f ca="1">IF(H$4&gt;'Set-up'!$B$14,0,IF(ISNA(MATCH(H$4,TBMonths,0))=TRUE,0,SUMIF(TBAll,$A30&amp;"*",OFFSET(TBCY!$C$4,1,MATCH(H$4,TBMonths,0),TBRowCount,1)))-IF(ISNA(MATCH(H$4,TBMonths,0))=TRUE,0,SUMIF(TBAll,$A30&amp;"*",OFFSET(TBCY!$C$4,1,MATCH(H$4,TBMonths,0)-1,TBRowCount,1))))</f>
        <v>0</v>
      </c>
      <c r="I30" s="40">
        <f ca="1">IF(I$4&gt;'Set-up'!$B$14,0,IF(ISNA(MATCH(I$4,TBMonths,0))=TRUE,0,SUMIF(TBAll,$A30&amp;"*",OFFSET(TBCY!$C$4,1,MATCH(I$4,TBMonths,0),TBRowCount,1)))-IF(ISNA(MATCH(I$4,TBMonths,0))=TRUE,0,SUMIF(TBAll,$A30&amp;"*",OFFSET(TBCY!$C$4,1,MATCH(I$4,TBMonths,0)-1,TBRowCount,1))))</f>
        <v>0</v>
      </c>
      <c r="J30" s="40">
        <f ca="1">IF(J$4&gt;'Set-up'!$B$14,0,IF(ISNA(MATCH(J$4,TBMonths,0))=TRUE,0,SUMIF(TBAll,$A30&amp;"*",OFFSET(TBCY!$C$4,1,MATCH(J$4,TBMonths,0),TBRowCount,1)))-IF(ISNA(MATCH(J$4,TBMonths,0))=TRUE,0,SUMIF(TBAll,$A30&amp;"*",OFFSET(TBCY!$C$4,1,MATCH(J$4,TBMonths,0)-1,TBRowCount,1))))</f>
        <v>0</v>
      </c>
      <c r="K30" s="40">
        <f ca="1">IF(K$4&gt;'Set-up'!$B$14,0,IF(ISNA(MATCH(K$4,TBMonths,0))=TRUE,0,SUMIF(TBAll,$A30&amp;"*",OFFSET(TBCY!$C$4,1,MATCH(K$4,TBMonths,0),TBRowCount,1)))-IF(ISNA(MATCH(K$4,TBMonths,0))=TRUE,0,SUMIF(TBAll,$A30&amp;"*",OFFSET(TBCY!$C$4,1,MATCH(K$4,TBMonths,0)-1,TBRowCount,1))))</f>
        <v>0</v>
      </c>
      <c r="L30" s="40">
        <f ca="1">IF(L$4&gt;'Set-up'!$B$14,0,IF(ISNA(MATCH(L$4,TBMonths,0))=TRUE,0,SUMIF(TBAll,$A30&amp;"*",OFFSET(TBCY!$C$4,1,MATCH(L$4,TBMonths,0),TBRowCount,1)))-IF(ISNA(MATCH(L$4,TBMonths,0))=TRUE,0,SUMIF(TBAll,$A30&amp;"*",OFFSET(TBCY!$C$4,1,MATCH(L$4,TBMonths,0)-1,TBRowCount,1))))</f>
        <v>0</v>
      </c>
      <c r="M30" s="40">
        <f ca="1">IF(M$4&gt;'Set-up'!$B$14,0,IF(ISNA(MATCH(M$4,TBMonths,0))=TRUE,0,SUMIF(TBAll,$A30&amp;"*",OFFSET(TBCY!$C$4,1,MATCH(M$4,TBMonths,0),TBRowCount,1)))-IF(ISNA(MATCH(M$4,TBMonths,0))=TRUE,0,SUMIF(TBAll,$A30&amp;"*",OFFSET(TBCY!$C$4,1,MATCH(M$4,TBMonths,0)-1,TBRowCount,1))))</f>
        <v>0</v>
      </c>
      <c r="N30" s="40">
        <f ca="1">IF(N$4&gt;'Set-up'!$B$14,0,IF(ISNA(MATCH(N$4,TBMonths,0))=TRUE,0,SUMIF(TBAll,$A30&amp;"*",OFFSET(TBCY!$C$4,1,MATCH(N$4,TBMonths,0),TBRowCount,1)))-IF(ISNA(MATCH(N$4,TBMonths,0))=TRUE,0,SUMIF(TBAll,$A30&amp;"*",OFFSET(TBCY!$C$4,1,MATCH(N$4,TBMonths,0)-1,TBRowCount,1))))</f>
        <v>0</v>
      </c>
      <c r="O30" s="40">
        <f t="shared" ca="1" si="4"/>
        <v>0</v>
      </c>
    </row>
    <row r="31" spans="1:15" ht="15" customHeight="1" x14ac:dyDescent="0.35">
      <c r="A31" s="19" t="s">
        <v>232</v>
      </c>
      <c r="B31" s="9" t="str">
        <f ca="1">IF(ISNA(VLOOKUP($A31,TBAll,COLUMN(TBCY!$C$4),0))=TRUE,"error!",VLOOKUP($A31,TBAll,COLUMN(TBCY!$C$4),0))</f>
        <v>Other Expenses</v>
      </c>
      <c r="C31" s="41">
        <f ca="1">IF(C$4&gt;'Set-up'!$B$14,0,IF(ISNA(MATCH(C$4,TBMonths,0))=TRUE,0,SUMIF(TBAll,$A31&amp;"*",OFFSET(TBCY!$C$4,1,MATCH(C$4,TBMonths,0),TBRowCount,1)))-IF(ISNA(MATCH(C$4,TBMonths,0))=TRUE,0,SUMIF(TBAll,$A31&amp;"*",OFFSET(TBCY!$C$4,1,MATCH(C$4,TBMonths,0)-1,TBRowCount,1))))</f>
        <v>0</v>
      </c>
      <c r="D31" s="41">
        <f ca="1">IF(D$4&gt;'Set-up'!$B$14,0,IF(ISNA(MATCH(D$4,TBMonths,0))=TRUE,0,SUMIF(TBAll,$A31&amp;"*",OFFSET(TBCY!$C$4,1,MATCH(D$4,TBMonths,0),TBRowCount,1)))-IF(ISNA(MATCH(D$4,TBMonths,0))=TRUE,0,SUMIF(TBAll,$A31&amp;"*",OFFSET(TBCY!$C$4,1,MATCH(D$4,TBMonths,0)-1,TBRowCount,1))))</f>
        <v>0</v>
      </c>
      <c r="E31" s="41">
        <f ca="1">IF(E$4&gt;'Set-up'!$B$14,0,IF(ISNA(MATCH(E$4,TBMonths,0))=TRUE,0,SUMIF(TBAll,$A31&amp;"*",OFFSET(TBCY!$C$4,1,MATCH(E$4,TBMonths,0),TBRowCount,1)))-IF(ISNA(MATCH(E$4,TBMonths,0))=TRUE,0,SUMIF(TBAll,$A31&amp;"*",OFFSET(TBCY!$C$4,1,MATCH(E$4,TBMonths,0)-1,TBRowCount,1))))</f>
        <v>0</v>
      </c>
      <c r="F31" s="41">
        <f ca="1">IF(F$4&gt;'Set-up'!$B$14,0,IF(ISNA(MATCH(F$4,TBMonths,0))=TRUE,0,SUMIF(TBAll,$A31&amp;"*",OFFSET(TBCY!$C$4,1,MATCH(F$4,TBMonths,0),TBRowCount,1)))-IF(ISNA(MATCH(F$4,TBMonths,0))=TRUE,0,SUMIF(TBAll,$A31&amp;"*",OFFSET(TBCY!$C$4,1,MATCH(F$4,TBMonths,0)-1,TBRowCount,1))))</f>
        <v>0</v>
      </c>
      <c r="G31" s="41">
        <f ca="1">IF(G$4&gt;'Set-up'!$B$14,0,IF(ISNA(MATCH(G$4,TBMonths,0))=TRUE,0,SUMIF(TBAll,$A31&amp;"*",OFFSET(TBCY!$C$4,1,MATCH(G$4,TBMonths,0),TBRowCount,1)))-IF(ISNA(MATCH(G$4,TBMonths,0))=TRUE,0,SUMIF(TBAll,$A31&amp;"*",OFFSET(TBCY!$C$4,1,MATCH(G$4,TBMonths,0)-1,TBRowCount,1))))</f>
        <v>0</v>
      </c>
      <c r="H31" s="41">
        <f ca="1">IF(H$4&gt;'Set-up'!$B$14,0,IF(ISNA(MATCH(H$4,TBMonths,0))=TRUE,0,SUMIF(TBAll,$A31&amp;"*",OFFSET(TBCY!$C$4,1,MATCH(H$4,TBMonths,0),TBRowCount,1)))-IF(ISNA(MATCH(H$4,TBMonths,0))=TRUE,0,SUMIF(TBAll,$A31&amp;"*",OFFSET(TBCY!$C$4,1,MATCH(H$4,TBMonths,0)-1,TBRowCount,1))))</f>
        <v>0</v>
      </c>
      <c r="I31" s="41">
        <f ca="1">IF(I$4&gt;'Set-up'!$B$14,0,IF(ISNA(MATCH(I$4,TBMonths,0))=TRUE,0,SUMIF(TBAll,$A31&amp;"*",OFFSET(TBCY!$C$4,1,MATCH(I$4,TBMonths,0),TBRowCount,1)))-IF(ISNA(MATCH(I$4,TBMonths,0))=TRUE,0,SUMIF(TBAll,$A31&amp;"*",OFFSET(TBCY!$C$4,1,MATCH(I$4,TBMonths,0)-1,TBRowCount,1))))</f>
        <v>0</v>
      </c>
      <c r="J31" s="41">
        <f ca="1">IF(J$4&gt;'Set-up'!$B$14,0,IF(ISNA(MATCH(J$4,TBMonths,0))=TRUE,0,SUMIF(TBAll,$A31&amp;"*",OFFSET(TBCY!$C$4,1,MATCH(J$4,TBMonths,0),TBRowCount,1)))-IF(ISNA(MATCH(J$4,TBMonths,0))=TRUE,0,SUMIF(TBAll,$A31&amp;"*",OFFSET(TBCY!$C$4,1,MATCH(J$4,TBMonths,0)-1,TBRowCount,1))))</f>
        <v>0</v>
      </c>
      <c r="K31" s="41">
        <f ca="1">IF(K$4&gt;'Set-up'!$B$14,0,IF(ISNA(MATCH(K$4,TBMonths,0))=TRUE,0,SUMIF(TBAll,$A31&amp;"*",OFFSET(TBCY!$C$4,1,MATCH(K$4,TBMonths,0),TBRowCount,1)))-IF(ISNA(MATCH(K$4,TBMonths,0))=TRUE,0,SUMIF(TBAll,$A31&amp;"*",OFFSET(TBCY!$C$4,1,MATCH(K$4,TBMonths,0)-1,TBRowCount,1))))</f>
        <v>0</v>
      </c>
      <c r="L31" s="41">
        <f ca="1">IF(L$4&gt;'Set-up'!$B$14,0,IF(ISNA(MATCH(L$4,TBMonths,0))=TRUE,0,SUMIF(TBAll,$A31&amp;"*",OFFSET(TBCY!$C$4,1,MATCH(L$4,TBMonths,0),TBRowCount,1)))-IF(ISNA(MATCH(L$4,TBMonths,0))=TRUE,0,SUMIF(TBAll,$A31&amp;"*",OFFSET(TBCY!$C$4,1,MATCH(L$4,TBMonths,0)-1,TBRowCount,1))))</f>
        <v>0</v>
      </c>
      <c r="M31" s="41">
        <f ca="1">IF(M$4&gt;'Set-up'!$B$14,0,IF(ISNA(MATCH(M$4,TBMonths,0))=TRUE,0,SUMIF(TBAll,$A31&amp;"*",OFFSET(TBCY!$C$4,1,MATCH(M$4,TBMonths,0),TBRowCount,1)))-IF(ISNA(MATCH(M$4,TBMonths,0))=TRUE,0,SUMIF(TBAll,$A31&amp;"*",OFFSET(TBCY!$C$4,1,MATCH(M$4,TBMonths,0)-1,TBRowCount,1))))</f>
        <v>0</v>
      </c>
      <c r="N31" s="41">
        <f ca="1">IF(N$4&gt;'Set-up'!$B$14,0,IF(ISNA(MATCH(N$4,TBMonths,0))=TRUE,0,SUMIF(TBAll,$A31&amp;"*",OFFSET(TBCY!$C$4,1,MATCH(N$4,TBMonths,0),TBRowCount,1)))-IF(ISNA(MATCH(N$4,TBMonths,0))=TRUE,0,SUMIF(TBAll,$A31&amp;"*",OFFSET(TBCY!$C$4,1,MATCH(N$4,TBMonths,0)-1,TBRowCount,1))))</f>
        <v>0</v>
      </c>
      <c r="O31" s="41">
        <f t="shared" ca="1" si="4"/>
        <v>0</v>
      </c>
    </row>
    <row r="32" spans="1:15" ht="15" customHeight="1" x14ac:dyDescent="0.35">
      <c r="B32" s="9" t="s">
        <v>233</v>
      </c>
      <c r="C32" s="35">
        <f ca="1">SUM(C7,C9,-C10)</f>
        <v>0</v>
      </c>
      <c r="D32" s="35">
        <f ca="1">SUM(D7,D9,-D10)</f>
        <v>0</v>
      </c>
      <c r="E32" s="35">
        <f t="shared" ref="E32:N32" ca="1" si="5">SUM(E7,E9,-E10)</f>
        <v>0</v>
      </c>
      <c r="F32" s="35">
        <f t="shared" ca="1" si="5"/>
        <v>0</v>
      </c>
      <c r="G32" s="35">
        <f t="shared" ca="1" si="5"/>
        <v>0</v>
      </c>
      <c r="H32" s="35">
        <f t="shared" ca="1" si="5"/>
        <v>0</v>
      </c>
      <c r="I32" s="35">
        <f t="shared" ca="1" si="5"/>
        <v>0</v>
      </c>
      <c r="J32" s="35">
        <f t="shared" ca="1" si="5"/>
        <v>0</v>
      </c>
      <c r="K32" s="35">
        <f t="shared" ca="1" si="5"/>
        <v>0</v>
      </c>
      <c r="L32" s="35">
        <f t="shared" ca="1" si="5"/>
        <v>0</v>
      </c>
      <c r="M32" s="35">
        <f t="shared" ca="1" si="5"/>
        <v>0</v>
      </c>
      <c r="N32" s="35">
        <f t="shared" ca="1" si="5"/>
        <v>0</v>
      </c>
      <c r="O32" s="35">
        <f ca="1">SUM(O7,O9,-O10)</f>
        <v>0</v>
      </c>
    </row>
    <row r="33" spans="1:15" ht="15" customHeight="1" x14ac:dyDescent="0.35">
      <c r="A33" s="19" t="s">
        <v>102</v>
      </c>
      <c r="B33" s="9" t="s">
        <v>9</v>
      </c>
      <c r="C33" s="35">
        <f ca="1">IF(C$4&gt;'Set-up'!$B$14,0,IF(ISNA(MATCH(C$4,TBMonths,0))=TRUE,0,SUMIF(TBAll,$A33&amp;"*",OFFSET(TBCY!$C$4,1,MATCH(C$4,TBMonths,0),TBRowCount,1)))-IF(ISNA(MATCH(C$4,TBMonths,0))=TRUE,0,SUMIF(TBAll,$A33&amp;"*",OFFSET(TBCY!$C$4,1,MATCH(C$4,TBMonths,0)-1,TBRowCount,1))))</f>
        <v>0</v>
      </c>
      <c r="D33" s="35">
        <f ca="1">IF(D$4&gt;'Set-up'!$B$14,0,IF(ISNA(MATCH(D$4,TBMonths,0))=TRUE,0,SUMIF(TBAll,$A33&amp;"*",OFFSET(TBCY!$C$4,1,MATCH(D$4,TBMonths,0),TBRowCount,1)))-IF(ISNA(MATCH(D$4,TBMonths,0))=TRUE,0,SUMIF(TBAll,$A33&amp;"*",OFFSET(TBCY!$C$4,1,MATCH(D$4,TBMonths,0)-1,TBRowCount,1))))</f>
        <v>0</v>
      </c>
      <c r="E33" s="35">
        <f ca="1">IF(E$4&gt;'Set-up'!$B$14,0,IF(ISNA(MATCH(E$4,TBMonths,0))=TRUE,0,SUMIF(TBAll,$A33&amp;"*",OFFSET(TBCY!$C$4,1,MATCH(E$4,TBMonths,0),TBRowCount,1)))-IF(ISNA(MATCH(E$4,TBMonths,0))=TRUE,0,SUMIF(TBAll,$A33&amp;"*",OFFSET(TBCY!$C$4,1,MATCH(E$4,TBMonths,0)-1,TBRowCount,1))))</f>
        <v>0</v>
      </c>
      <c r="F33" s="35">
        <f ca="1">IF(F$4&gt;'Set-up'!$B$14,0,IF(ISNA(MATCH(F$4,TBMonths,0))=TRUE,0,SUMIF(TBAll,$A33&amp;"*",OFFSET(TBCY!$C$4,1,MATCH(F$4,TBMonths,0),TBRowCount,1)))-IF(ISNA(MATCH(F$4,TBMonths,0))=TRUE,0,SUMIF(TBAll,$A33&amp;"*",OFFSET(TBCY!$C$4,1,MATCH(F$4,TBMonths,0)-1,TBRowCount,1))))</f>
        <v>0</v>
      </c>
      <c r="G33" s="35">
        <f ca="1">IF(G$4&gt;'Set-up'!$B$14,0,IF(ISNA(MATCH(G$4,TBMonths,0))=TRUE,0,SUMIF(TBAll,$A33&amp;"*",OFFSET(TBCY!$C$4,1,MATCH(G$4,TBMonths,0),TBRowCount,1)))-IF(ISNA(MATCH(G$4,TBMonths,0))=TRUE,0,SUMIF(TBAll,$A33&amp;"*",OFFSET(TBCY!$C$4,1,MATCH(G$4,TBMonths,0)-1,TBRowCount,1))))</f>
        <v>0</v>
      </c>
      <c r="H33" s="35">
        <f ca="1">IF(H$4&gt;'Set-up'!$B$14,0,IF(ISNA(MATCH(H$4,TBMonths,0))=TRUE,0,SUMIF(TBAll,$A33&amp;"*",OFFSET(TBCY!$C$4,1,MATCH(H$4,TBMonths,0),TBRowCount,1)))-IF(ISNA(MATCH(H$4,TBMonths,0))=TRUE,0,SUMIF(TBAll,$A33&amp;"*",OFFSET(TBCY!$C$4,1,MATCH(H$4,TBMonths,0)-1,TBRowCount,1))))</f>
        <v>0</v>
      </c>
      <c r="I33" s="35">
        <f ca="1">IF(I$4&gt;'Set-up'!$B$14,0,IF(ISNA(MATCH(I$4,TBMonths,0))=TRUE,0,SUMIF(TBAll,$A33&amp;"*",OFFSET(TBCY!$C$4,1,MATCH(I$4,TBMonths,0),TBRowCount,1)))-IF(ISNA(MATCH(I$4,TBMonths,0))=TRUE,0,SUMIF(TBAll,$A33&amp;"*",OFFSET(TBCY!$C$4,1,MATCH(I$4,TBMonths,0)-1,TBRowCount,1))))</f>
        <v>0</v>
      </c>
      <c r="J33" s="35">
        <f ca="1">IF(J$4&gt;'Set-up'!$B$14,0,IF(ISNA(MATCH(J$4,TBMonths,0))=TRUE,0,SUMIF(TBAll,$A33&amp;"*",OFFSET(TBCY!$C$4,1,MATCH(J$4,TBMonths,0),TBRowCount,1)))-IF(ISNA(MATCH(J$4,TBMonths,0))=TRUE,0,SUMIF(TBAll,$A33&amp;"*",OFFSET(TBCY!$C$4,1,MATCH(J$4,TBMonths,0)-1,TBRowCount,1))))</f>
        <v>0</v>
      </c>
      <c r="K33" s="35">
        <f ca="1">IF(K$4&gt;'Set-up'!$B$14,0,IF(ISNA(MATCH(K$4,TBMonths,0))=TRUE,0,SUMIF(TBAll,$A33&amp;"*",OFFSET(TBCY!$C$4,1,MATCH(K$4,TBMonths,0),TBRowCount,1)))-IF(ISNA(MATCH(K$4,TBMonths,0))=TRUE,0,SUMIF(TBAll,$A33&amp;"*",OFFSET(TBCY!$C$4,1,MATCH(K$4,TBMonths,0)-1,TBRowCount,1))))</f>
        <v>0</v>
      </c>
      <c r="L33" s="35">
        <f ca="1">IF(L$4&gt;'Set-up'!$B$14,0,IF(ISNA(MATCH(L$4,TBMonths,0))=TRUE,0,SUMIF(TBAll,$A33&amp;"*",OFFSET(TBCY!$C$4,1,MATCH(L$4,TBMonths,0),TBRowCount,1)))-IF(ISNA(MATCH(L$4,TBMonths,0))=TRUE,0,SUMIF(TBAll,$A33&amp;"*",OFFSET(TBCY!$C$4,1,MATCH(L$4,TBMonths,0)-1,TBRowCount,1))))</f>
        <v>0</v>
      </c>
      <c r="M33" s="35">
        <f ca="1">IF(M$4&gt;'Set-up'!$B$14,0,IF(ISNA(MATCH(M$4,TBMonths,0))=TRUE,0,SUMIF(TBAll,$A33&amp;"*",OFFSET(TBCY!$C$4,1,MATCH(M$4,TBMonths,0),TBRowCount,1)))-IF(ISNA(MATCH(M$4,TBMonths,0))=TRUE,0,SUMIF(TBAll,$A33&amp;"*",OFFSET(TBCY!$C$4,1,MATCH(M$4,TBMonths,0)-1,TBRowCount,1))))</f>
        <v>0</v>
      </c>
      <c r="N33" s="35">
        <f ca="1">IF(N$4&gt;'Set-up'!$B$14,0,IF(ISNA(MATCH(N$4,TBMonths,0))=TRUE,0,SUMIF(TBAll,$A33&amp;"*",OFFSET(TBCY!$C$4,1,MATCH(N$4,TBMonths,0),TBRowCount,1)))-IF(ISNA(MATCH(N$4,TBMonths,0))=TRUE,0,SUMIF(TBAll,$A33&amp;"*",OFFSET(TBCY!$C$4,1,MATCH(N$4,TBMonths,0)-1,TBRowCount,1))))</f>
        <v>0</v>
      </c>
      <c r="O33" s="35">
        <f ca="1">SUM(C33:N33)</f>
        <v>0</v>
      </c>
    </row>
    <row r="34" spans="1:15" ht="15" customHeight="1" x14ac:dyDescent="0.35">
      <c r="B34" s="9" t="s">
        <v>122</v>
      </c>
      <c r="C34" s="38">
        <f ca="1">SUM(C32,-C33)</f>
        <v>0</v>
      </c>
      <c r="D34" s="38">
        <f ca="1">SUM(D32,-D33)</f>
        <v>0</v>
      </c>
      <c r="E34" s="38">
        <f t="shared" ref="E34:O34" ca="1" si="6">SUM(E32,-E33)</f>
        <v>0</v>
      </c>
      <c r="F34" s="38">
        <f t="shared" ca="1" si="6"/>
        <v>0</v>
      </c>
      <c r="G34" s="38">
        <f t="shared" ca="1" si="6"/>
        <v>0</v>
      </c>
      <c r="H34" s="38">
        <f t="shared" ca="1" si="6"/>
        <v>0</v>
      </c>
      <c r="I34" s="38">
        <f t="shared" ca="1" si="6"/>
        <v>0</v>
      </c>
      <c r="J34" s="38">
        <f t="shared" ca="1" si="6"/>
        <v>0</v>
      </c>
      <c r="K34" s="38">
        <f t="shared" ca="1" si="6"/>
        <v>0</v>
      </c>
      <c r="L34" s="38">
        <f t="shared" ca="1" si="6"/>
        <v>0</v>
      </c>
      <c r="M34" s="38">
        <f t="shared" ca="1" si="6"/>
        <v>0</v>
      </c>
      <c r="N34" s="38">
        <f t="shared" ca="1" si="6"/>
        <v>0</v>
      </c>
      <c r="O34" s="38">
        <f t="shared" ca="1" si="6"/>
        <v>0</v>
      </c>
    </row>
    <row r="35" spans="1:15" ht="15" customHeight="1" x14ac:dyDescent="0.35">
      <c r="A35" s="19" t="s">
        <v>103</v>
      </c>
      <c r="B35" s="9" t="s">
        <v>10</v>
      </c>
      <c r="C35" s="35">
        <f ca="1">IF(C$4&gt;'Set-up'!$B$14,0,IF(ISNA(MATCH(C$4,TBMonths,0))=TRUE,0,SUMIF(TBAll,$A35&amp;"*",OFFSET(TBCY!$C$4,1,MATCH(C$4,TBMonths,0),TBRowCount,1)))-IF(ISNA(MATCH(C$4,TBMonths,0))=TRUE,0,SUMIF(TBAll,$A35&amp;"*",OFFSET(TBCY!$C$4,1,MATCH(C$4,TBMonths,0)-1,TBRowCount,1))))</f>
        <v>0</v>
      </c>
      <c r="D35" s="35">
        <f ca="1">IF(D$4&gt;'Set-up'!$B$14,0,IF(ISNA(MATCH(D$4,TBMonths,0))=TRUE,0,SUMIF(TBAll,$A35&amp;"*",OFFSET(TBCY!$C$4,1,MATCH(D$4,TBMonths,0),TBRowCount,1)))-IF(ISNA(MATCH(D$4,TBMonths,0))=TRUE,0,SUMIF(TBAll,$A35&amp;"*",OFFSET(TBCY!$C$4,1,MATCH(D$4,TBMonths,0)-1,TBRowCount,1))))</f>
        <v>0</v>
      </c>
      <c r="E35" s="35">
        <f ca="1">IF(E$4&gt;'Set-up'!$B$14,0,IF(ISNA(MATCH(E$4,TBMonths,0))=TRUE,0,SUMIF(TBAll,$A35&amp;"*",OFFSET(TBCY!$C$4,1,MATCH(E$4,TBMonths,0),TBRowCount,1)))-IF(ISNA(MATCH(E$4,TBMonths,0))=TRUE,0,SUMIF(TBAll,$A35&amp;"*",OFFSET(TBCY!$C$4,1,MATCH(E$4,TBMonths,0)-1,TBRowCount,1))))</f>
        <v>0</v>
      </c>
      <c r="F35" s="35">
        <f ca="1">IF(F$4&gt;'Set-up'!$B$14,0,IF(ISNA(MATCH(F$4,TBMonths,0))=TRUE,0,SUMIF(TBAll,$A35&amp;"*",OFFSET(TBCY!$C$4,1,MATCH(F$4,TBMonths,0),TBRowCount,1)))-IF(ISNA(MATCH(F$4,TBMonths,0))=TRUE,0,SUMIF(TBAll,$A35&amp;"*",OFFSET(TBCY!$C$4,1,MATCH(F$4,TBMonths,0)-1,TBRowCount,1))))</f>
        <v>0</v>
      </c>
      <c r="G35" s="35">
        <f ca="1">IF(G$4&gt;'Set-up'!$B$14,0,IF(ISNA(MATCH(G$4,TBMonths,0))=TRUE,0,SUMIF(TBAll,$A35&amp;"*",OFFSET(TBCY!$C$4,1,MATCH(G$4,TBMonths,0),TBRowCount,1)))-IF(ISNA(MATCH(G$4,TBMonths,0))=TRUE,0,SUMIF(TBAll,$A35&amp;"*",OFFSET(TBCY!$C$4,1,MATCH(G$4,TBMonths,0)-1,TBRowCount,1))))</f>
        <v>0</v>
      </c>
      <c r="H35" s="35">
        <f ca="1">IF(H$4&gt;'Set-up'!$B$14,0,IF(ISNA(MATCH(H$4,TBMonths,0))=TRUE,0,SUMIF(TBAll,$A35&amp;"*",OFFSET(TBCY!$C$4,1,MATCH(H$4,TBMonths,0),TBRowCount,1)))-IF(ISNA(MATCH(H$4,TBMonths,0))=TRUE,0,SUMIF(TBAll,$A35&amp;"*",OFFSET(TBCY!$C$4,1,MATCH(H$4,TBMonths,0)-1,TBRowCount,1))))</f>
        <v>0</v>
      </c>
      <c r="I35" s="35">
        <f ca="1">IF(I$4&gt;'Set-up'!$B$14,0,IF(ISNA(MATCH(I$4,TBMonths,0))=TRUE,0,SUMIF(TBAll,$A35&amp;"*",OFFSET(TBCY!$C$4,1,MATCH(I$4,TBMonths,0),TBRowCount,1)))-IF(ISNA(MATCH(I$4,TBMonths,0))=TRUE,0,SUMIF(TBAll,$A35&amp;"*",OFFSET(TBCY!$C$4,1,MATCH(I$4,TBMonths,0)-1,TBRowCount,1))))</f>
        <v>0</v>
      </c>
      <c r="J35" s="35">
        <f ca="1">IF(J$4&gt;'Set-up'!$B$14,0,IF(ISNA(MATCH(J$4,TBMonths,0))=TRUE,0,SUMIF(TBAll,$A35&amp;"*",OFFSET(TBCY!$C$4,1,MATCH(J$4,TBMonths,0),TBRowCount,1)))-IF(ISNA(MATCH(J$4,TBMonths,0))=TRUE,0,SUMIF(TBAll,$A35&amp;"*",OFFSET(TBCY!$C$4,1,MATCH(J$4,TBMonths,0)-1,TBRowCount,1))))</f>
        <v>0</v>
      </c>
      <c r="K35" s="35">
        <f ca="1">IF(K$4&gt;'Set-up'!$B$14,0,IF(ISNA(MATCH(K$4,TBMonths,0))=TRUE,0,SUMIF(TBAll,$A35&amp;"*",OFFSET(TBCY!$C$4,1,MATCH(K$4,TBMonths,0),TBRowCount,1)))-IF(ISNA(MATCH(K$4,TBMonths,0))=TRUE,0,SUMIF(TBAll,$A35&amp;"*",OFFSET(TBCY!$C$4,1,MATCH(K$4,TBMonths,0)-1,TBRowCount,1))))</f>
        <v>0</v>
      </c>
      <c r="L35" s="35">
        <f ca="1">IF(L$4&gt;'Set-up'!$B$14,0,IF(ISNA(MATCH(L$4,TBMonths,0))=TRUE,0,SUMIF(TBAll,$A35&amp;"*",OFFSET(TBCY!$C$4,1,MATCH(L$4,TBMonths,0),TBRowCount,1)))-IF(ISNA(MATCH(L$4,TBMonths,0))=TRUE,0,SUMIF(TBAll,$A35&amp;"*",OFFSET(TBCY!$C$4,1,MATCH(L$4,TBMonths,0)-1,TBRowCount,1))))</f>
        <v>0</v>
      </c>
      <c r="M35" s="35">
        <f ca="1">IF(M$4&gt;'Set-up'!$B$14,0,IF(ISNA(MATCH(M$4,TBMonths,0))=TRUE,0,SUMIF(TBAll,$A35&amp;"*",OFFSET(TBCY!$C$4,1,MATCH(M$4,TBMonths,0),TBRowCount,1)))-IF(ISNA(MATCH(M$4,TBMonths,0))=TRUE,0,SUMIF(TBAll,$A35&amp;"*",OFFSET(TBCY!$C$4,1,MATCH(M$4,TBMonths,0)-1,TBRowCount,1))))</f>
        <v>0</v>
      </c>
      <c r="N35" s="35">
        <f ca="1">IF(N$4&gt;'Set-up'!$B$14,0,IF(ISNA(MATCH(N$4,TBMonths,0))=TRUE,0,SUMIF(TBAll,$A35&amp;"*",OFFSET(TBCY!$C$4,1,MATCH(N$4,TBMonths,0),TBRowCount,1)))-IF(ISNA(MATCH(N$4,TBMonths,0))=TRUE,0,SUMIF(TBAll,$A35&amp;"*",OFFSET(TBCY!$C$4,1,MATCH(N$4,TBMonths,0)-1,TBRowCount,1))))</f>
        <v>0</v>
      </c>
      <c r="O35" s="35">
        <f ca="1">SUM(C35:N35)</f>
        <v>0</v>
      </c>
    </row>
    <row r="36" spans="1:15" ht="15" customHeight="1" x14ac:dyDescent="0.35">
      <c r="B36" s="9" t="s">
        <v>243</v>
      </c>
      <c r="C36" s="38">
        <f ca="1">SUM(C34,-C35)</f>
        <v>0</v>
      </c>
      <c r="D36" s="38">
        <f ca="1">SUM(D34,-D35)</f>
        <v>0</v>
      </c>
      <c r="E36" s="38">
        <f t="shared" ref="E36:O36" ca="1" si="7">SUM(E34,-E35)</f>
        <v>0</v>
      </c>
      <c r="F36" s="38">
        <f t="shared" ca="1" si="7"/>
        <v>0</v>
      </c>
      <c r="G36" s="38">
        <f t="shared" ca="1" si="7"/>
        <v>0</v>
      </c>
      <c r="H36" s="38">
        <f t="shared" ca="1" si="7"/>
        <v>0</v>
      </c>
      <c r="I36" s="38">
        <f t="shared" ca="1" si="7"/>
        <v>0</v>
      </c>
      <c r="J36" s="38">
        <f t="shared" ca="1" si="7"/>
        <v>0</v>
      </c>
      <c r="K36" s="38">
        <f t="shared" ca="1" si="7"/>
        <v>0</v>
      </c>
      <c r="L36" s="38">
        <f t="shared" ca="1" si="7"/>
        <v>0</v>
      </c>
      <c r="M36" s="38">
        <f t="shared" ca="1" si="7"/>
        <v>0</v>
      </c>
      <c r="N36" s="38">
        <f t="shared" ca="1" si="7"/>
        <v>0</v>
      </c>
      <c r="O36" s="38">
        <f t="shared" ca="1" si="7"/>
        <v>0</v>
      </c>
    </row>
    <row r="37" spans="1:15" ht="15" customHeight="1" x14ac:dyDescent="0.35">
      <c r="A37" s="19" t="s">
        <v>118</v>
      </c>
      <c r="B37" s="9" t="s">
        <v>241</v>
      </c>
      <c r="C37" s="35">
        <f ca="1">IF(C$4&gt;'Set-up'!$B$14,0,-IF(ISNA(MATCH(C$4,TBMonths,0))=TRUE,0,SUMIF(TBAll,$A37&amp;"*",OFFSET(TBCY!$C$4,1,MATCH(C$4,TBMonths,0),TBRowCount,1))+SUMIF(TBAll,"I-*",OFFSET(TBCY!$C$4,1,MATCH(C$4,TBMonths,0)-1,TBRowCount,1))))</f>
        <v>0</v>
      </c>
      <c r="D37" s="35">
        <f ca="1">IF(D$4&gt;'Set-up'!$B$14,0,C39)</f>
        <v>0</v>
      </c>
      <c r="E37" s="35">
        <f ca="1">IF(E$4&gt;'Set-up'!$B$14,0,D39)</f>
        <v>0</v>
      </c>
      <c r="F37" s="35">
        <f ca="1">IF(F$4&gt;'Set-up'!$B$14,0,E39)</f>
        <v>0</v>
      </c>
      <c r="G37" s="35">
        <f ca="1">IF(G$4&gt;'Set-up'!$B$14,0,F39)</f>
        <v>0</v>
      </c>
      <c r="H37" s="35">
        <f ca="1">IF(H$4&gt;'Set-up'!$B$14,0,G39)</f>
        <v>0</v>
      </c>
      <c r="I37" s="35">
        <f ca="1">IF(I$4&gt;'Set-up'!$B$14,0,H39)</f>
        <v>0</v>
      </c>
      <c r="J37" s="35">
        <f ca="1">IF(J$4&gt;'Set-up'!$B$14,0,I39)</f>
        <v>0</v>
      </c>
      <c r="K37" s="35">
        <f ca="1">IF(K$4&gt;'Set-up'!$B$14,0,J39)</f>
        <v>0</v>
      </c>
      <c r="L37" s="35">
        <f ca="1">IF(L$4&gt;'Set-up'!$B$14,0,K39)</f>
        <v>0</v>
      </c>
      <c r="M37" s="35">
        <f ca="1">IF(M$4&gt;'Set-up'!$B$14,0,L39)</f>
        <v>0</v>
      </c>
      <c r="N37" s="35">
        <f ca="1">IF(N$4&gt;'Set-up'!$B$14,0,M39)</f>
        <v>0</v>
      </c>
      <c r="O37" s="35">
        <f ca="1">C37</f>
        <v>0</v>
      </c>
    </row>
    <row r="38" spans="1:15" ht="15" customHeight="1" x14ac:dyDescent="0.35">
      <c r="A38" s="19" t="s">
        <v>104</v>
      </c>
      <c r="B38" s="9" t="s">
        <v>12</v>
      </c>
      <c r="C38" s="35">
        <f ca="1">IF(C$4&gt;'Set-up'!$B$14,0,IF(ISNA(MATCH(C$4,TBMonths,0))=TRUE,0,SUMIF(TBAll,$A38&amp;"*",OFFSET(TBCY!$C$4,1,MATCH(C$4,TBMonths,0),TBRowCount,1)))-IF(ISNA(MATCH(C$4,TBMonths,0))=TRUE,0,SUMIF(TBAll,$A38&amp;"*",OFFSET(TBCY!$C$4,1,MATCH(C$4,TBMonths,0)-1,TBRowCount,1))))</f>
        <v>0</v>
      </c>
      <c r="D38" s="35">
        <f ca="1">IF(D$4&gt;'Set-up'!$B$14,0,IF(ISNA(MATCH(D$4,TBMonths,0))=TRUE,0,SUMIF(TBAll,$A38&amp;"*",OFFSET(TBCY!$C$4,1,MATCH(D$4,TBMonths,0),TBRowCount,1)))-IF(ISNA(MATCH(D$4,TBMonths,0))=TRUE,0,SUMIF(TBAll,$A38&amp;"*",OFFSET(TBCY!$C$4,1,MATCH(D$4,TBMonths,0)-1,TBRowCount,1))))</f>
        <v>0</v>
      </c>
      <c r="E38" s="35">
        <f ca="1">IF(E$4&gt;'Set-up'!$B$14,0,IF(ISNA(MATCH(E$4,TBMonths,0))=TRUE,0,SUMIF(TBAll,$A38&amp;"*",OFFSET(TBCY!$C$4,1,MATCH(E$4,TBMonths,0),TBRowCount,1)))-IF(ISNA(MATCH(E$4,TBMonths,0))=TRUE,0,SUMIF(TBAll,$A38&amp;"*",OFFSET(TBCY!$C$4,1,MATCH(E$4,TBMonths,0)-1,TBRowCount,1))))</f>
        <v>0</v>
      </c>
      <c r="F38" s="35">
        <f ca="1">IF(F$4&gt;'Set-up'!$B$14,0,IF(ISNA(MATCH(F$4,TBMonths,0))=TRUE,0,SUMIF(TBAll,$A38&amp;"*",OFFSET(TBCY!$C$4,1,MATCH(F$4,TBMonths,0),TBRowCount,1)))-IF(ISNA(MATCH(F$4,TBMonths,0))=TRUE,0,SUMIF(TBAll,$A38&amp;"*",OFFSET(TBCY!$C$4,1,MATCH(F$4,TBMonths,0)-1,TBRowCount,1))))</f>
        <v>0</v>
      </c>
      <c r="G38" s="35">
        <f ca="1">IF(G$4&gt;'Set-up'!$B$14,0,IF(ISNA(MATCH(G$4,TBMonths,0))=TRUE,0,SUMIF(TBAll,$A38&amp;"*",OFFSET(TBCY!$C$4,1,MATCH(G$4,TBMonths,0),TBRowCount,1)))-IF(ISNA(MATCH(G$4,TBMonths,0))=TRUE,0,SUMIF(TBAll,$A38&amp;"*",OFFSET(TBCY!$C$4,1,MATCH(G$4,TBMonths,0)-1,TBRowCount,1))))</f>
        <v>0</v>
      </c>
      <c r="H38" s="35">
        <f ca="1">IF(H$4&gt;'Set-up'!$B$14,0,IF(ISNA(MATCH(H$4,TBMonths,0))=TRUE,0,SUMIF(TBAll,$A38&amp;"*",OFFSET(TBCY!$C$4,1,MATCH(H$4,TBMonths,0),TBRowCount,1)))-IF(ISNA(MATCH(H$4,TBMonths,0))=TRUE,0,SUMIF(TBAll,$A38&amp;"*",OFFSET(TBCY!$C$4,1,MATCH(H$4,TBMonths,0)-1,TBRowCount,1))))</f>
        <v>0</v>
      </c>
      <c r="I38" s="35">
        <f ca="1">IF(I$4&gt;'Set-up'!$B$14,0,IF(ISNA(MATCH(I$4,TBMonths,0))=TRUE,0,SUMIF(TBAll,$A38&amp;"*",OFFSET(TBCY!$C$4,1,MATCH(I$4,TBMonths,0),TBRowCount,1)))-IF(ISNA(MATCH(I$4,TBMonths,0))=TRUE,0,SUMIF(TBAll,$A38&amp;"*",OFFSET(TBCY!$C$4,1,MATCH(I$4,TBMonths,0)-1,TBRowCount,1))))</f>
        <v>0</v>
      </c>
      <c r="J38" s="35">
        <f ca="1">IF(J$4&gt;'Set-up'!$B$14,0,IF(ISNA(MATCH(J$4,TBMonths,0))=TRUE,0,SUMIF(TBAll,$A38&amp;"*",OFFSET(TBCY!$C$4,1,MATCH(J$4,TBMonths,0),TBRowCount,1)))-IF(ISNA(MATCH(J$4,TBMonths,0))=TRUE,0,SUMIF(TBAll,$A38&amp;"*",OFFSET(TBCY!$C$4,1,MATCH(J$4,TBMonths,0)-1,TBRowCount,1))))</f>
        <v>0</v>
      </c>
      <c r="K38" s="35">
        <f ca="1">IF(K$4&gt;'Set-up'!$B$14,0,IF(ISNA(MATCH(K$4,TBMonths,0))=TRUE,0,SUMIF(TBAll,$A38&amp;"*",OFFSET(TBCY!$C$4,1,MATCH(K$4,TBMonths,0),TBRowCount,1)))-IF(ISNA(MATCH(K$4,TBMonths,0))=TRUE,0,SUMIF(TBAll,$A38&amp;"*",OFFSET(TBCY!$C$4,1,MATCH(K$4,TBMonths,0)-1,TBRowCount,1))))</f>
        <v>0</v>
      </c>
      <c r="L38" s="35">
        <f ca="1">IF(L$4&gt;'Set-up'!$B$14,0,IF(ISNA(MATCH(L$4,TBMonths,0))=TRUE,0,SUMIF(TBAll,$A38&amp;"*",OFFSET(TBCY!$C$4,1,MATCH(L$4,TBMonths,0),TBRowCount,1)))-IF(ISNA(MATCH(L$4,TBMonths,0))=TRUE,0,SUMIF(TBAll,$A38&amp;"*",OFFSET(TBCY!$C$4,1,MATCH(L$4,TBMonths,0)-1,TBRowCount,1))))</f>
        <v>0</v>
      </c>
      <c r="M38" s="35">
        <f ca="1">IF(M$4&gt;'Set-up'!$B$14,0,IF(ISNA(MATCH(M$4,TBMonths,0))=TRUE,0,SUMIF(TBAll,$A38&amp;"*",OFFSET(TBCY!$C$4,1,MATCH(M$4,TBMonths,0),TBRowCount,1)))-IF(ISNA(MATCH(M$4,TBMonths,0))=TRUE,0,SUMIF(TBAll,$A38&amp;"*",OFFSET(TBCY!$C$4,1,MATCH(M$4,TBMonths,0)-1,TBRowCount,1))))</f>
        <v>0</v>
      </c>
      <c r="N38" s="35">
        <f ca="1">IF(N$4&gt;'Set-up'!$B$14,0,IF(ISNA(MATCH(N$4,TBMonths,0))=TRUE,0,SUMIF(TBAll,$A38&amp;"*",OFFSET(TBCY!$C$4,1,MATCH(N$4,TBMonths,0),TBRowCount,1)))-IF(ISNA(MATCH(N$4,TBMonths,0))=TRUE,0,SUMIF(TBAll,$A38&amp;"*",OFFSET(TBCY!$C$4,1,MATCH(N$4,TBMonths,0)-1,TBRowCount,1))))</f>
        <v>0</v>
      </c>
      <c r="O38" s="35">
        <f ca="1">SUM(C38:N38)</f>
        <v>0</v>
      </c>
    </row>
    <row r="39" spans="1:15" s="32" customFormat="1" ht="15" customHeight="1" thickBot="1" x14ac:dyDescent="0.4">
      <c r="A39" s="34"/>
      <c r="B39" s="30" t="s">
        <v>242</v>
      </c>
      <c r="C39" s="50">
        <f ca="1">SUM(C36,C37,-C38)</f>
        <v>0</v>
      </c>
      <c r="D39" s="50">
        <f ca="1">SUM(D36,D37,-D38)</f>
        <v>0</v>
      </c>
      <c r="E39" s="50">
        <f t="shared" ref="E39:O39" ca="1" si="8">SUM(E36,E37,-E38)</f>
        <v>0</v>
      </c>
      <c r="F39" s="50">
        <f t="shared" ca="1" si="8"/>
        <v>0</v>
      </c>
      <c r="G39" s="50">
        <f t="shared" ca="1" si="8"/>
        <v>0</v>
      </c>
      <c r="H39" s="50">
        <f t="shared" ca="1" si="8"/>
        <v>0</v>
      </c>
      <c r="I39" s="50">
        <f t="shared" ca="1" si="8"/>
        <v>0</v>
      </c>
      <c r="J39" s="50">
        <f t="shared" ca="1" si="8"/>
        <v>0</v>
      </c>
      <c r="K39" s="50">
        <f t="shared" ca="1" si="8"/>
        <v>0</v>
      </c>
      <c r="L39" s="50">
        <f t="shared" ca="1" si="8"/>
        <v>0</v>
      </c>
      <c r="M39" s="50">
        <f t="shared" ca="1" si="8"/>
        <v>0</v>
      </c>
      <c r="N39" s="50">
        <f t="shared" ca="1" si="8"/>
        <v>0</v>
      </c>
      <c r="O39" s="50">
        <f t="shared" ca="1" si="8"/>
        <v>0</v>
      </c>
    </row>
    <row r="40" spans="1:15" ht="15" customHeight="1" thickTop="1" x14ac:dyDescent="0.35"/>
  </sheetData>
  <pageMargins left="0.55118110236220474" right="0.55118110236220474" top="0.55118110236220474" bottom="0.55118110236220474" header="0.39370078740157483" footer="0.39370078740157483"/>
  <pageSetup paperSize="9" scale="68" orientation="landscape" r:id="rId1"/>
  <headerFooter>
    <oddFooter>&amp;C&amp;9Page &amp;P of &amp;N</oddFooter>
  </headerFooter>
  <ignoredErrors>
    <ignoredError sqref="O10 C32:O32 C34:O34 O36 O35 C35:N3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9"/>
  <sheetViews>
    <sheetView zoomScale="95" zoomScaleNormal="95" workbookViewId="0">
      <pane ySplit="5" topLeftCell="A6" activePane="bottomLeft" state="frozen"/>
      <selection pane="bottomLeft" activeCell="E3" sqref="E3"/>
    </sheetView>
  </sheetViews>
  <sheetFormatPr defaultColWidth="9.1328125" defaultRowHeight="15" customHeight="1" x14ac:dyDescent="0.3"/>
  <cols>
    <col min="1" max="1" width="16.73046875" style="3" customWidth="1"/>
    <col min="2" max="2" width="16.73046875" style="10" customWidth="1"/>
    <col min="3" max="3" width="16.73046875" style="95" customWidth="1"/>
    <col min="4" max="15" width="15.73046875" style="3" customWidth="1"/>
    <col min="16" max="16384" width="9.1328125" style="3"/>
  </cols>
  <sheetData>
    <row r="1" spans="1:5" x14ac:dyDescent="0.4">
      <c r="A1" s="2" t="s">
        <v>129</v>
      </c>
      <c r="B1" s="94"/>
    </row>
    <row r="2" spans="1:5" ht="15" customHeight="1" x14ac:dyDescent="0.35">
      <c r="A2" s="4" t="s">
        <v>282</v>
      </c>
      <c r="B2" s="96"/>
      <c r="E2" s="97" t="s">
        <v>284</v>
      </c>
    </row>
    <row r="3" spans="1:5" ht="15" customHeight="1" x14ac:dyDescent="0.3">
      <c r="A3" s="12" t="s">
        <v>128</v>
      </c>
      <c r="B3" s="98"/>
      <c r="E3" s="99" t="s">
        <v>283</v>
      </c>
    </row>
    <row r="4" spans="1:5" ht="15" customHeight="1" x14ac:dyDescent="0.35">
      <c r="A4" s="12"/>
      <c r="B4" s="10">
        <f ca="1">SUBTOTAL(109,OFFSET(B5,1,0,CheckRowCount,1))</f>
        <v>0</v>
      </c>
      <c r="C4" s="95" t="str">
        <f ca="1">IF(ROUND(B4,2)&lt;&gt;0,"error!","ok")</f>
        <v>ok</v>
      </c>
      <c r="E4" s="1"/>
    </row>
    <row r="5" spans="1:5" s="25" customFormat="1" ht="18" customHeight="1" x14ac:dyDescent="0.35">
      <c r="A5" s="81" t="s">
        <v>61</v>
      </c>
      <c r="B5" s="86" t="s">
        <v>280</v>
      </c>
      <c r="C5" s="100" t="s">
        <v>281</v>
      </c>
    </row>
    <row r="6" spans="1:5" ht="15" customHeight="1" x14ac:dyDescent="0.3">
      <c r="A6" s="3" t="s">
        <v>78</v>
      </c>
      <c r="B6" s="10">
        <v>0</v>
      </c>
      <c r="C6" s="101" t="str">
        <f ca="1">IF($E$3="Prior",IF(OFFSET(TBPY!$B$4,ROW($A6)-ROW($A$5),0,1,1)=$A6,"ok","error!"),IF($E$3="Forecast",IF(OFFSET(Forecast!$B$4,ROW($A6)-ROW($A$5),0,1,1)=$A6,"ok","error!"),IF(OFFSET(TBCY!$B$4,ROW($A6)-ROW($A$5),0,1,1)=$A6,"ok","error!")))</f>
        <v>ok</v>
      </c>
    </row>
    <row r="7" spans="1:5" ht="15" customHeight="1" x14ac:dyDescent="0.3">
      <c r="A7" s="3" t="s">
        <v>79</v>
      </c>
      <c r="B7" s="10">
        <v>0</v>
      </c>
      <c r="C7" s="101" t="str">
        <f ca="1">IF($E$3="Prior",IF(OFFSET(TBPY!$B$4,ROW($A7)-ROW($A$5),0,1,1)=$A7,"ok","error!"),IF($E$3="Forecast",IF(OFFSET(Forecast!$B$4,ROW($A7)-ROW($A$5),0,1,1)=$A7,"ok","error!"),IF(OFFSET(TBCY!$B$4,ROW($A7)-ROW($A$5),0,1,1)=$A7,"ok","error!")))</f>
        <v>ok</v>
      </c>
    </row>
    <row r="8" spans="1:5" ht="15" customHeight="1" x14ac:dyDescent="0.3">
      <c r="A8" s="3" t="s">
        <v>80</v>
      </c>
      <c r="B8" s="10">
        <v>0</v>
      </c>
      <c r="C8" s="101" t="str">
        <f ca="1">IF($E$3="Prior",IF(OFFSET(TBPY!$B$4,ROW($A8)-ROW($A$5),0,1,1)=$A8,"ok","error!"),IF($E$3="Forecast",IF(OFFSET(Forecast!$B$4,ROW($A8)-ROW($A$5),0,1,1)=$A8,"ok","error!"),IF(OFFSET(TBCY!$B$4,ROW($A8)-ROW($A$5),0,1,1)=$A8,"ok","error!")))</f>
        <v>ok</v>
      </c>
    </row>
    <row r="9" spans="1:5" ht="15" customHeight="1" x14ac:dyDescent="0.3">
      <c r="A9" s="3" t="s">
        <v>89</v>
      </c>
      <c r="B9" s="10">
        <v>0</v>
      </c>
      <c r="C9" s="101" t="str">
        <f ca="1">IF($E$3="Prior",IF(OFFSET(TBPY!$B$4,ROW($A9)-ROW($A$5),0,1,1)=$A9,"ok","error!"),IF($E$3="Forecast",IF(OFFSET(Forecast!$B$4,ROW($A9)-ROW($A$5),0,1,1)=$A9,"ok","error!"),IF(OFFSET(TBCY!$B$4,ROW($A9)-ROW($A$5),0,1,1)=$A9,"ok","error!")))</f>
        <v>ok</v>
      </c>
    </row>
    <row r="10" spans="1:5" ht="15" customHeight="1" x14ac:dyDescent="0.3">
      <c r="A10" s="3" t="s">
        <v>148</v>
      </c>
      <c r="B10" s="10">
        <v>0</v>
      </c>
      <c r="C10" s="101" t="str">
        <f ca="1">IF($E$3="Prior",IF(OFFSET(TBPY!$B$4,ROW($A10)-ROW($A$5),0,1,1)=$A10,"ok","error!"),IF($E$3="Forecast",IF(OFFSET(Forecast!$B$4,ROW($A10)-ROW($A$5),0,1,1)=$A10,"ok","error!"),IF(OFFSET(TBCY!$B$4,ROW($A10)-ROW($A$5),0,1,1)=$A10,"ok","error!")))</f>
        <v>ok</v>
      </c>
    </row>
    <row r="11" spans="1:5" ht="15" customHeight="1" x14ac:dyDescent="0.3">
      <c r="A11" s="3" t="s">
        <v>149</v>
      </c>
      <c r="B11" s="10">
        <v>0</v>
      </c>
      <c r="C11" s="101" t="str">
        <f ca="1">IF($E$3="Prior",IF(OFFSET(TBPY!$B$4,ROW($A11)-ROW($A$5),0,1,1)=$A11,"ok","error!"),IF($E$3="Forecast",IF(OFFSET(Forecast!$B$4,ROW($A11)-ROW($A$5),0,1,1)=$A11,"ok","error!"),IF(OFFSET(TBCY!$B$4,ROW($A11)-ROW($A$5),0,1,1)=$A11,"ok","error!")))</f>
        <v>ok</v>
      </c>
    </row>
    <row r="12" spans="1:5" ht="15" customHeight="1" x14ac:dyDescent="0.3">
      <c r="A12" s="3" t="s">
        <v>75</v>
      </c>
      <c r="B12" s="10">
        <v>0</v>
      </c>
      <c r="C12" s="101" t="str">
        <f ca="1">IF($E$3="Prior",IF(OFFSET(TBPY!$B$4,ROW($A12)-ROW($A$5),0,1,1)=$A12,"ok","error!"),IF($E$3="Forecast",IF(OFFSET(Forecast!$B$4,ROW($A12)-ROW($A$5),0,1,1)=$A12,"ok","error!"),IF(OFFSET(TBCY!$B$4,ROW($A12)-ROW($A$5),0,1,1)=$A12,"ok","error!")))</f>
        <v>ok</v>
      </c>
    </row>
    <row r="13" spans="1:5" ht="15" customHeight="1" x14ac:dyDescent="0.3">
      <c r="A13" s="3" t="s">
        <v>263</v>
      </c>
      <c r="B13" s="10">
        <v>0</v>
      </c>
      <c r="C13" s="101" t="str">
        <f ca="1">IF($E$3="Prior",IF(OFFSET(TBPY!$B$4,ROW($A13)-ROW($A$5),0,1,1)=$A13,"ok","error!"),IF($E$3="Forecast",IF(OFFSET(Forecast!$B$4,ROW($A13)-ROW($A$5),0,1,1)=$A13,"ok","error!"),IF(OFFSET(TBCY!$B$4,ROW($A13)-ROW($A$5),0,1,1)=$A13,"ok","error!")))</f>
        <v>ok</v>
      </c>
    </row>
    <row r="14" spans="1:5" ht="15" customHeight="1" x14ac:dyDescent="0.3">
      <c r="A14" s="3" t="s">
        <v>264</v>
      </c>
      <c r="B14" s="10">
        <v>0</v>
      </c>
      <c r="C14" s="101" t="str">
        <f ca="1">IF($E$3="Prior",IF(OFFSET(TBPY!$B$4,ROW($A14)-ROW($A$5),0,1,1)=$A14,"ok","error!"),IF($E$3="Forecast",IF(OFFSET(Forecast!$B$4,ROW($A14)-ROW($A$5),0,1,1)=$A14,"ok","error!"),IF(OFFSET(TBCY!$B$4,ROW($A14)-ROW($A$5),0,1,1)=$A14,"ok","error!")))</f>
        <v>ok</v>
      </c>
    </row>
    <row r="15" spans="1:5" ht="15" customHeight="1" x14ac:dyDescent="0.3">
      <c r="A15" s="3" t="s">
        <v>265</v>
      </c>
      <c r="B15" s="10">
        <v>0</v>
      </c>
      <c r="C15" s="101" t="str">
        <f ca="1">IF($E$3="Prior",IF(OFFSET(TBPY!$B$4,ROW($A15)-ROW($A$5),0,1,1)=$A15,"ok","error!"),IF($E$3="Forecast",IF(OFFSET(Forecast!$B$4,ROW($A15)-ROW($A$5),0,1,1)=$A15,"ok","error!"),IF(OFFSET(TBCY!$B$4,ROW($A15)-ROW($A$5),0,1,1)=$A15,"ok","error!")))</f>
        <v>ok</v>
      </c>
    </row>
    <row r="16" spans="1:5" ht="15" customHeight="1" x14ac:dyDescent="0.3">
      <c r="A16" s="3" t="s">
        <v>269</v>
      </c>
      <c r="B16" s="10">
        <v>0</v>
      </c>
      <c r="C16" s="101" t="str">
        <f ca="1">IF($E$3="Prior",IF(OFFSET(TBPY!$B$4,ROW($A16)-ROW($A$5),0,1,1)=$A16,"ok","error!"),IF($E$3="Forecast",IF(OFFSET(Forecast!$B$4,ROW($A16)-ROW($A$5),0,1,1)=$A16,"ok","error!"),IF(OFFSET(TBCY!$B$4,ROW($A16)-ROW($A$5),0,1,1)=$A16,"ok","error!")))</f>
        <v>ok</v>
      </c>
    </row>
    <row r="17" spans="1:3" ht="15" customHeight="1" x14ac:dyDescent="0.3">
      <c r="A17" s="3" t="s">
        <v>77</v>
      </c>
      <c r="B17" s="10">
        <v>0</v>
      </c>
      <c r="C17" s="101" t="str">
        <f ca="1">IF($E$3="Prior",IF(OFFSET(TBPY!$B$4,ROW($A17)-ROW($A$5),0,1,1)=$A17,"ok","error!"),IF($E$3="Forecast",IF(OFFSET(Forecast!$B$4,ROW($A17)-ROW($A$5),0,1,1)=$A17,"ok","error!"),IF(OFFSET(TBCY!$B$4,ROW($A17)-ROW($A$5),0,1,1)=$A17,"ok","error!")))</f>
        <v>ok</v>
      </c>
    </row>
    <row r="18" spans="1:3" ht="15" customHeight="1" x14ac:dyDescent="0.3">
      <c r="A18" s="3" t="s">
        <v>87</v>
      </c>
      <c r="B18" s="10">
        <v>0</v>
      </c>
      <c r="C18" s="101" t="str">
        <f ca="1">IF($E$3="Prior",IF(OFFSET(TBPY!$B$4,ROW($A18)-ROW($A$5),0,1,1)=$A18,"ok","error!"),IF($E$3="Forecast",IF(OFFSET(Forecast!$B$4,ROW($A18)-ROW($A$5),0,1,1)=$A18,"ok","error!"),IF(OFFSET(TBCY!$B$4,ROW($A18)-ROW($A$5),0,1,1)=$A18,"ok","error!")))</f>
        <v>ok</v>
      </c>
    </row>
    <row r="19" spans="1:3" ht="15" customHeight="1" x14ac:dyDescent="0.3">
      <c r="A19" s="3" t="s">
        <v>82</v>
      </c>
      <c r="B19" s="10">
        <v>0</v>
      </c>
      <c r="C19" s="101" t="str">
        <f ca="1">IF($E$3="Prior",IF(OFFSET(TBPY!$B$4,ROW($A19)-ROW($A$5),0,1,1)=$A19,"ok","error!"),IF($E$3="Forecast",IF(OFFSET(Forecast!$B$4,ROW($A19)-ROW($A$5),0,1,1)=$A19,"ok","error!"),IF(OFFSET(TBCY!$B$4,ROW($A19)-ROW($A$5),0,1,1)=$A19,"ok","error!")))</f>
        <v>ok</v>
      </c>
    </row>
    <row r="20" spans="1:3" ht="15" customHeight="1" x14ac:dyDescent="0.3">
      <c r="A20" s="3" t="s">
        <v>81</v>
      </c>
      <c r="B20" s="10">
        <v>0</v>
      </c>
      <c r="C20" s="101" t="str">
        <f ca="1">IF($E$3="Prior",IF(OFFSET(TBPY!$B$4,ROW($A20)-ROW($A$5),0,1,1)=$A20,"ok","error!"),IF($E$3="Forecast",IF(OFFSET(Forecast!$B$4,ROW($A20)-ROW($A$5),0,1,1)=$A20,"ok","error!"),IF(OFFSET(TBCY!$B$4,ROW($A20)-ROW($A$5),0,1,1)=$A20,"ok","error!")))</f>
        <v>ok</v>
      </c>
    </row>
    <row r="21" spans="1:3" ht="15" customHeight="1" x14ac:dyDescent="0.3">
      <c r="A21" s="3" t="s">
        <v>59</v>
      </c>
      <c r="B21" s="10">
        <v>0</v>
      </c>
      <c r="C21" s="101" t="str">
        <f ca="1">IF($E$3="Prior",IF(OFFSET(TBPY!$B$4,ROW($A21)-ROW($A$5),0,1,1)=$A21,"ok","error!"),IF($E$3="Forecast",IF(OFFSET(Forecast!$B$4,ROW($A21)-ROW($A$5),0,1,1)=$A21,"ok","error!"),IF(OFFSET(TBCY!$B$4,ROW($A21)-ROW($A$5),0,1,1)=$A21,"ok","error!")))</f>
        <v>ok</v>
      </c>
    </row>
    <row r="22" spans="1:3" ht="15" customHeight="1" x14ac:dyDescent="0.3">
      <c r="A22" s="3" t="s">
        <v>60</v>
      </c>
      <c r="B22" s="10">
        <v>0</v>
      </c>
      <c r="C22" s="101" t="str">
        <f ca="1">IF($E$3="Prior",IF(OFFSET(TBPY!$B$4,ROW($A22)-ROW($A$5),0,1,1)=$A22,"ok","error!"),IF($E$3="Forecast",IF(OFFSET(Forecast!$B$4,ROW($A22)-ROW($A$5),0,1,1)=$A22,"ok","error!"),IF(OFFSET(TBCY!$B$4,ROW($A22)-ROW($A$5),0,1,1)=$A22,"ok","error!")))</f>
        <v>ok</v>
      </c>
    </row>
    <row r="23" spans="1:3" ht="15" customHeight="1" x14ac:dyDescent="0.3">
      <c r="A23" s="3" t="s">
        <v>63</v>
      </c>
      <c r="B23" s="10">
        <v>0</v>
      </c>
      <c r="C23" s="101" t="str">
        <f ca="1">IF($E$3="Prior",IF(OFFSET(TBPY!$B$4,ROW($A23)-ROW($A$5),0,1,1)=$A23,"ok","error!"),IF($E$3="Forecast",IF(OFFSET(Forecast!$B$4,ROW($A23)-ROW($A$5),0,1,1)=$A23,"ok","error!"),IF(OFFSET(TBCY!$B$4,ROW($A23)-ROW($A$5),0,1,1)=$A23,"ok","error!")))</f>
        <v>ok</v>
      </c>
    </row>
    <row r="24" spans="1:3" ht="15" customHeight="1" x14ac:dyDescent="0.3">
      <c r="A24" s="3" t="s">
        <v>64</v>
      </c>
      <c r="B24" s="10">
        <v>0</v>
      </c>
      <c r="C24" s="101" t="str">
        <f ca="1">IF($E$3="Prior",IF(OFFSET(TBPY!$B$4,ROW($A24)-ROW($A$5),0,1,1)=$A24,"ok","error!"),IF($E$3="Forecast",IF(OFFSET(Forecast!$B$4,ROW($A24)-ROW($A$5),0,1,1)=$A24,"ok","error!"),IF(OFFSET(TBCY!$B$4,ROW($A24)-ROW($A$5),0,1,1)=$A24,"ok","error!")))</f>
        <v>ok</v>
      </c>
    </row>
    <row r="25" spans="1:3" ht="15" customHeight="1" x14ac:dyDescent="0.3">
      <c r="A25" s="3" t="s">
        <v>65</v>
      </c>
      <c r="B25" s="10">
        <v>0</v>
      </c>
      <c r="C25" s="101" t="str">
        <f ca="1">IF($E$3="Prior",IF(OFFSET(TBPY!$B$4,ROW($A25)-ROW($A$5),0,1,1)=$A25,"ok","error!"),IF($E$3="Forecast",IF(OFFSET(Forecast!$B$4,ROW($A25)-ROW($A$5),0,1,1)=$A25,"ok","error!"),IF(OFFSET(TBCY!$B$4,ROW($A25)-ROW($A$5),0,1,1)=$A25,"ok","error!")))</f>
        <v>ok</v>
      </c>
    </row>
    <row r="26" spans="1:3" ht="15" customHeight="1" x14ac:dyDescent="0.3">
      <c r="A26" s="3" t="s">
        <v>150</v>
      </c>
      <c r="B26" s="10">
        <v>0</v>
      </c>
      <c r="C26" s="101" t="str">
        <f ca="1">IF($E$3="Prior",IF(OFFSET(TBPY!$B$4,ROW($A26)-ROW($A$5),0,1,1)=$A26,"ok","error!"),IF($E$3="Forecast",IF(OFFSET(Forecast!$B$4,ROW($A26)-ROW($A$5),0,1,1)=$A26,"ok","error!"),IF(OFFSET(TBCY!$B$4,ROW($A26)-ROW($A$5),0,1,1)=$A26,"ok","error!")))</f>
        <v>ok</v>
      </c>
    </row>
    <row r="27" spans="1:3" ht="15" customHeight="1" x14ac:dyDescent="0.3">
      <c r="A27" s="3" t="s">
        <v>151</v>
      </c>
      <c r="B27" s="10">
        <v>0</v>
      </c>
      <c r="C27" s="101" t="str">
        <f ca="1">IF($E$3="Prior",IF(OFFSET(TBPY!$B$4,ROW($A27)-ROW($A$5),0,1,1)=$A27,"ok","error!"),IF($E$3="Forecast",IF(OFFSET(Forecast!$B$4,ROW($A27)-ROW($A$5),0,1,1)=$A27,"ok","error!"),IF(OFFSET(TBCY!$B$4,ROW($A27)-ROW($A$5),0,1,1)=$A27,"ok","error!")))</f>
        <v>ok</v>
      </c>
    </row>
    <row r="28" spans="1:3" ht="15" customHeight="1" x14ac:dyDescent="0.3">
      <c r="A28" s="3" t="s">
        <v>152</v>
      </c>
      <c r="B28" s="10">
        <v>0</v>
      </c>
      <c r="C28" s="101" t="str">
        <f ca="1">IF($E$3="Prior",IF(OFFSET(TBPY!$B$4,ROW($A28)-ROW($A$5),0,1,1)=$A28,"ok","error!"),IF($E$3="Forecast",IF(OFFSET(Forecast!$B$4,ROW($A28)-ROW($A$5),0,1,1)=$A28,"ok","error!"),IF(OFFSET(TBCY!$B$4,ROW($A28)-ROW($A$5),0,1,1)=$A28,"ok","error!")))</f>
        <v>ok</v>
      </c>
    </row>
    <row r="29" spans="1:3" ht="15" customHeight="1" x14ac:dyDescent="0.3">
      <c r="A29" s="3" t="s">
        <v>153</v>
      </c>
      <c r="B29" s="10">
        <v>0</v>
      </c>
      <c r="C29" s="101" t="str">
        <f ca="1">IF($E$3="Prior",IF(OFFSET(TBPY!$B$4,ROW($A29)-ROW($A$5),0,1,1)=$A29,"ok","error!"),IF($E$3="Forecast",IF(OFFSET(Forecast!$B$4,ROW($A29)-ROW($A$5),0,1,1)=$A29,"ok","error!"),IF(OFFSET(TBCY!$B$4,ROW($A29)-ROW($A$5),0,1,1)=$A29,"ok","error!")))</f>
        <v>ok</v>
      </c>
    </row>
    <row r="30" spans="1:3" ht="15" customHeight="1" x14ac:dyDescent="0.3">
      <c r="A30" s="3" t="s">
        <v>154</v>
      </c>
      <c r="B30" s="10">
        <v>0</v>
      </c>
      <c r="C30" s="101" t="str">
        <f ca="1">IF($E$3="Prior",IF(OFFSET(TBPY!$B$4,ROW($A30)-ROW($A$5),0,1,1)=$A30,"ok","error!"),IF($E$3="Forecast",IF(OFFSET(Forecast!$B$4,ROW($A30)-ROW($A$5),0,1,1)=$A30,"ok","error!"),IF(OFFSET(TBCY!$B$4,ROW($A30)-ROW($A$5),0,1,1)=$A30,"ok","error!")))</f>
        <v>ok</v>
      </c>
    </row>
    <row r="31" spans="1:3" ht="15" customHeight="1" x14ac:dyDescent="0.3">
      <c r="A31" s="3" t="s">
        <v>155</v>
      </c>
      <c r="B31" s="10">
        <v>0</v>
      </c>
      <c r="C31" s="101" t="str">
        <f ca="1">IF($E$3="Prior",IF(OFFSET(TBPY!$B$4,ROW($A31)-ROW($A$5),0,1,1)=$A31,"ok","error!"),IF($E$3="Forecast",IF(OFFSET(Forecast!$B$4,ROW($A31)-ROW($A$5),0,1,1)=$A31,"ok","error!"),IF(OFFSET(TBCY!$B$4,ROW($A31)-ROW($A$5),0,1,1)=$A31,"ok","error!")))</f>
        <v>ok</v>
      </c>
    </row>
    <row r="32" spans="1:3" ht="15" customHeight="1" x14ac:dyDescent="0.3">
      <c r="A32" s="3" t="s">
        <v>156</v>
      </c>
      <c r="B32" s="10">
        <v>0</v>
      </c>
      <c r="C32" s="101" t="str">
        <f ca="1">IF($E$3="Prior",IF(OFFSET(TBPY!$B$4,ROW($A32)-ROW($A$5),0,1,1)=$A32,"ok","error!"),IF($E$3="Forecast",IF(OFFSET(Forecast!$B$4,ROW($A32)-ROW($A$5),0,1,1)=$A32,"ok","error!"),IF(OFFSET(TBCY!$B$4,ROW($A32)-ROW($A$5),0,1,1)=$A32,"ok","error!")))</f>
        <v>ok</v>
      </c>
    </row>
    <row r="33" spans="1:3" ht="15" customHeight="1" x14ac:dyDescent="0.3">
      <c r="A33" s="3" t="s">
        <v>157</v>
      </c>
      <c r="B33" s="10">
        <v>0</v>
      </c>
      <c r="C33" s="101" t="str">
        <f ca="1">IF($E$3="Prior",IF(OFFSET(TBPY!$B$4,ROW($A33)-ROW($A$5),0,1,1)=$A33,"ok","error!"),IF($E$3="Forecast",IF(OFFSET(Forecast!$B$4,ROW($A33)-ROW($A$5),0,1,1)=$A33,"ok","error!"),IF(OFFSET(TBCY!$B$4,ROW($A33)-ROW($A$5),0,1,1)=$A33,"ok","error!")))</f>
        <v>ok</v>
      </c>
    </row>
    <row r="34" spans="1:3" ht="15" customHeight="1" x14ac:dyDescent="0.3">
      <c r="A34" s="3" t="s">
        <v>158</v>
      </c>
      <c r="B34" s="10">
        <v>0</v>
      </c>
      <c r="C34" s="101" t="str">
        <f ca="1">IF($E$3="Prior",IF(OFFSET(TBPY!$B$4,ROW($A34)-ROW($A$5),0,1,1)=$A34,"ok","error!"),IF($E$3="Forecast",IF(OFFSET(Forecast!$B$4,ROW($A34)-ROW($A$5),0,1,1)=$A34,"ok","error!"),IF(OFFSET(TBCY!$B$4,ROW($A34)-ROW($A$5),0,1,1)=$A34,"ok","error!")))</f>
        <v>ok</v>
      </c>
    </row>
    <row r="35" spans="1:3" ht="15" customHeight="1" x14ac:dyDescent="0.3">
      <c r="A35" s="3" t="s">
        <v>159</v>
      </c>
      <c r="B35" s="10">
        <v>0</v>
      </c>
      <c r="C35" s="101" t="str">
        <f ca="1">IF($E$3="Prior",IF(OFFSET(TBPY!$B$4,ROW($A35)-ROW($A$5),0,1,1)=$A35,"ok","error!"),IF($E$3="Forecast",IF(OFFSET(Forecast!$B$4,ROW($A35)-ROW($A$5),0,1,1)=$A35,"ok","error!"),IF(OFFSET(TBCY!$B$4,ROW($A35)-ROW($A$5),0,1,1)=$A35,"ok","error!")))</f>
        <v>ok</v>
      </c>
    </row>
    <row r="36" spans="1:3" ht="15" customHeight="1" x14ac:dyDescent="0.3">
      <c r="A36" s="3" t="s">
        <v>160</v>
      </c>
      <c r="B36" s="10">
        <v>0</v>
      </c>
      <c r="C36" s="101" t="str">
        <f ca="1">IF($E$3="Prior",IF(OFFSET(TBPY!$B$4,ROW($A36)-ROW($A$5),0,1,1)=$A36,"ok","error!"),IF($E$3="Forecast",IF(OFFSET(Forecast!$B$4,ROW($A36)-ROW($A$5),0,1,1)=$A36,"ok","error!"),IF(OFFSET(TBCY!$B$4,ROW($A36)-ROW($A$5),0,1,1)=$A36,"ok","error!")))</f>
        <v>ok</v>
      </c>
    </row>
    <row r="37" spans="1:3" ht="15" customHeight="1" x14ac:dyDescent="0.3">
      <c r="A37" s="3" t="s">
        <v>161</v>
      </c>
      <c r="B37" s="10">
        <v>0</v>
      </c>
      <c r="C37" s="101" t="str">
        <f ca="1">IF($E$3="Prior",IF(OFFSET(TBPY!$B$4,ROW($A37)-ROW($A$5),0,1,1)=$A37,"ok","error!"),IF($E$3="Forecast",IF(OFFSET(Forecast!$B$4,ROW($A37)-ROW($A$5),0,1,1)=$A37,"ok","error!"),IF(OFFSET(TBCY!$B$4,ROW($A37)-ROW($A$5),0,1,1)=$A37,"ok","error!")))</f>
        <v>ok</v>
      </c>
    </row>
    <row r="38" spans="1:3" ht="15" customHeight="1" x14ac:dyDescent="0.3">
      <c r="A38" s="3" t="s">
        <v>162</v>
      </c>
      <c r="B38" s="10">
        <v>0</v>
      </c>
      <c r="C38" s="101" t="str">
        <f ca="1">IF($E$3="Prior",IF(OFFSET(TBPY!$B$4,ROW($A38)-ROW($A$5),0,1,1)=$A38,"ok","error!"),IF($E$3="Forecast",IF(OFFSET(Forecast!$B$4,ROW($A38)-ROW($A$5),0,1,1)=$A38,"ok","error!"),IF(OFFSET(TBCY!$B$4,ROW($A38)-ROW($A$5),0,1,1)=$A38,"ok","error!")))</f>
        <v>ok</v>
      </c>
    </row>
    <row r="39" spans="1:3" ht="15" customHeight="1" x14ac:dyDescent="0.3">
      <c r="A39" s="3" t="s">
        <v>163</v>
      </c>
      <c r="B39" s="10">
        <v>0</v>
      </c>
      <c r="C39" s="101" t="str">
        <f ca="1">IF($E$3="Prior",IF(OFFSET(TBPY!$B$4,ROW($A39)-ROW($A$5),0,1,1)=$A39,"ok","error!"),IF($E$3="Forecast",IF(OFFSET(Forecast!$B$4,ROW($A39)-ROW($A$5),0,1,1)=$A39,"ok","error!"),IF(OFFSET(TBCY!$B$4,ROW($A39)-ROW($A$5),0,1,1)=$A39,"ok","error!")))</f>
        <v>ok</v>
      </c>
    </row>
    <row r="40" spans="1:3" ht="15" customHeight="1" x14ac:dyDescent="0.3">
      <c r="A40" s="3" t="s">
        <v>164</v>
      </c>
      <c r="B40" s="10">
        <v>0</v>
      </c>
      <c r="C40" s="101" t="str">
        <f ca="1">IF($E$3="Prior",IF(OFFSET(TBPY!$B$4,ROW($A40)-ROW($A$5),0,1,1)=$A40,"ok","error!"),IF($E$3="Forecast",IF(OFFSET(Forecast!$B$4,ROW($A40)-ROW($A$5),0,1,1)=$A40,"ok","error!"),IF(OFFSET(TBCY!$B$4,ROW($A40)-ROW($A$5),0,1,1)=$A40,"ok","error!")))</f>
        <v>ok</v>
      </c>
    </row>
    <row r="41" spans="1:3" ht="15" customHeight="1" x14ac:dyDescent="0.3">
      <c r="A41" s="3" t="s">
        <v>165</v>
      </c>
      <c r="B41" s="10">
        <v>0</v>
      </c>
      <c r="C41" s="101" t="str">
        <f ca="1">IF($E$3="Prior",IF(OFFSET(TBPY!$B$4,ROW($A41)-ROW($A$5),0,1,1)=$A41,"ok","error!"),IF($E$3="Forecast",IF(OFFSET(Forecast!$B$4,ROW($A41)-ROW($A$5),0,1,1)=$A41,"ok","error!"),IF(OFFSET(TBCY!$B$4,ROW($A41)-ROW($A$5),0,1,1)=$A41,"ok","error!")))</f>
        <v>ok</v>
      </c>
    </row>
    <row r="42" spans="1:3" ht="15" customHeight="1" x14ac:dyDescent="0.3">
      <c r="A42" s="3" t="s">
        <v>166</v>
      </c>
      <c r="B42" s="10">
        <v>0</v>
      </c>
      <c r="C42" s="101" t="str">
        <f ca="1">IF($E$3="Prior",IF(OFFSET(TBPY!$B$4,ROW($A42)-ROW($A$5),0,1,1)=$A42,"ok","error!"),IF($E$3="Forecast",IF(OFFSET(Forecast!$B$4,ROW($A42)-ROW($A$5),0,1,1)=$A42,"ok","error!"),IF(OFFSET(TBCY!$B$4,ROW($A42)-ROW($A$5),0,1,1)=$A42,"ok","error!")))</f>
        <v>ok</v>
      </c>
    </row>
    <row r="43" spans="1:3" ht="15" customHeight="1" x14ac:dyDescent="0.3">
      <c r="A43" s="3" t="s">
        <v>167</v>
      </c>
      <c r="B43" s="10">
        <v>0</v>
      </c>
      <c r="C43" s="101" t="str">
        <f ca="1">IF($E$3="Prior",IF(OFFSET(TBPY!$B$4,ROW($A43)-ROW($A$5),0,1,1)=$A43,"ok","error!"),IF($E$3="Forecast",IF(OFFSET(Forecast!$B$4,ROW($A43)-ROW($A$5),0,1,1)=$A43,"ok","error!"),IF(OFFSET(TBCY!$B$4,ROW($A43)-ROW($A$5),0,1,1)=$A43,"ok","error!")))</f>
        <v>ok</v>
      </c>
    </row>
    <row r="44" spans="1:3" ht="15" customHeight="1" x14ac:dyDescent="0.3">
      <c r="A44" s="3" t="s">
        <v>67</v>
      </c>
      <c r="B44" s="10">
        <v>0</v>
      </c>
      <c r="C44" s="101" t="str">
        <f ca="1">IF($E$3="Prior",IF(OFFSET(TBPY!$B$4,ROW($A44)-ROW($A$5),0,1,1)=$A44,"ok","error!"),IF($E$3="Forecast",IF(OFFSET(Forecast!$B$4,ROW($A44)-ROW($A$5),0,1,1)=$A44,"ok","error!"),IF(OFFSET(TBCY!$B$4,ROW($A44)-ROW($A$5),0,1,1)=$A44,"ok","error!")))</f>
        <v>ok</v>
      </c>
    </row>
    <row r="45" spans="1:3" ht="15" customHeight="1" x14ac:dyDescent="0.3">
      <c r="A45" s="3" t="s">
        <v>68</v>
      </c>
      <c r="B45" s="10">
        <v>0</v>
      </c>
      <c r="C45" s="101" t="str">
        <f ca="1">IF($E$3="Prior",IF(OFFSET(TBPY!$B$4,ROW($A45)-ROW($A$5),0,1,1)=$A45,"ok","error!"),IF($E$3="Forecast",IF(OFFSET(Forecast!$B$4,ROW($A45)-ROW($A$5),0,1,1)=$A45,"ok","error!"),IF(OFFSET(TBCY!$B$4,ROW($A45)-ROW($A$5),0,1,1)=$A45,"ok","error!")))</f>
        <v>ok</v>
      </c>
    </row>
    <row r="46" spans="1:3" ht="15" customHeight="1" x14ac:dyDescent="0.3">
      <c r="A46" s="3" t="s">
        <v>66</v>
      </c>
      <c r="B46" s="10">
        <v>0</v>
      </c>
      <c r="C46" s="101" t="str">
        <f ca="1">IF($E$3="Prior",IF(OFFSET(TBPY!$B$4,ROW($A46)-ROW($A$5),0,1,1)=$A46,"ok","error!"),IF($E$3="Forecast",IF(OFFSET(Forecast!$B$4,ROW($A46)-ROW($A$5),0,1,1)=$A46,"ok","error!"),IF(OFFSET(TBCY!$B$4,ROW($A46)-ROW($A$5),0,1,1)=$A46,"ok","error!")))</f>
        <v>ok</v>
      </c>
    </row>
    <row r="47" spans="1:3" ht="15" customHeight="1" x14ac:dyDescent="0.3">
      <c r="A47" s="3" t="s">
        <v>168</v>
      </c>
      <c r="B47" s="10">
        <v>0</v>
      </c>
      <c r="C47" s="101" t="str">
        <f ca="1">IF($E$3="Prior",IF(OFFSET(TBPY!$B$4,ROW($A47)-ROW($A$5),0,1,1)=$A47,"ok","error!"),IF($E$3="Forecast",IF(OFFSET(Forecast!$B$4,ROW($A47)-ROW($A$5),0,1,1)=$A47,"ok","error!"),IF(OFFSET(TBCY!$B$4,ROW($A47)-ROW($A$5),0,1,1)=$A47,"ok","error!")))</f>
        <v>ok</v>
      </c>
    </row>
    <row r="48" spans="1:3" ht="15" customHeight="1" x14ac:dyDescent="0.3">
      <c r="A48" s="3" t="s">
        <v>256</v>
      </c>
      <c r="B48" s="10">
        <v>0</v>
      </c>
      <c r="C48" s="101" t="str">
        <f ca="1">IF($E$3="Prior",IF(OFFSET(TBPY!$B$4,ROW($A48)-ROW($A$5),0,1,1)=$A48,"ok","error!"),IF($E$3="Forecast",IF(OFFSET(Forecast!$B$4,ROW($A48)-ROW($A$5),0,1,1)=$A48,"ok","error!"),IF(OFFSET(TBCY!$B$4,ROW($A48)-ROW($A$5),0,1,1)=$A48,"ok","error!")))</f>
        <v>ok</v>
      </c>
    </row>
    <row r="49" spans="1:3" ht="15" customHeight="1" x14ac:dyDescent="0.3">
      <c r="A49" s="3" t="s">
        <v>260</v>
      </c>
      <c r="B49" s="10">
        <v>0</v>
      </c>
      <c r="C49" s="101" t="str">
        <f ca="1">IF($E$3="Prior",IF(OFFSET(TBPY!$B$4,ROW($A49)-ROW($A$5),0,1,1)=$A49,"ok","error!"),IF($E$3="Forecast",IF(OFFSET(Forecast!$B$4,ROW($A49)-ROW($A$5),0,1,1)=$A49,"ok","error!"),IF(OFFSET(TBCY!$B$4,ROW($A49)-ROW($A$5),0,1,1)=$A49,"ok","error!")))</f>
        <v>ok</v>
      </c>
    </row>
    <row r="50" spans="1:3" ht="15" customHeight="1" x14ac:dyDescent="0.3">
      <c r="A50" s="3" t="s">
        <v>272</v>
      </c>
      <c r="B50" s="10">
        <v>0</v>
      </c>
      <c r="C50" s="101" t="str">
        <f ca="1">IF($E$3="Prior",IF(OFFSET(TBPY!$B$4,ROW($A50)-ROW($A$5),0,1,1)=$A50,"ok","error!"),IF($E$3="Forecast",IF(OFFSET(Forecast!$B$4,ROW($A50)-ROW($A$5),0,1,1)=$A50,"ok","error!"),IF(OFFSET(TBCY!$B$4,ROW($A50)-ROW($A$5),0,1,1)=$A50,"ok","error!")))</f>
        <v>ok</v>
      </c>
    </row>
    <row r="51" spans="1:3" ht="15" customHeight="1" x14ac:dyDescent="0.3">
      <c r="A51" s="3" t="s">
        <v>198</v>
      </c>
      <c r="B51" s="10">
        <v>0</v>
      </c>
      <c r="C51" s="101" t="str">
        <f ca="1">IF($E$3="Prior",IF(OFFSET(TBPY!$B$4,ROW($A51)-ROW($A$5),0,1,1)=$A51,"ok","error!"),IF($E$3="Forecast",IF(OFFSET(Forecast!$B$4,ROW($A51)-ROW($A$5),0,1,1)=$A51,"ok","error!"),IF(OFFSET(TBCY!$B$4,ROW($A51)-ROW($A$5),0,1,1)=$A51,"ok","error!")))</f>
        <v>ok</v>
      </c>
    </row>
    <row r="52" spans="1:3" ht="15" customHeight="1" x14ac:dyDescent="0.3">
      <c r="A52" s="3" t="s">
        <v>200</v>
      </c>
      <c r="B52" s="10">
        <v>0</v>
      </c>
      <c r="C52" s="101" t="str">
        <f ca="1">IF($E$3="Prior",IF(OFFSET(TBPY!$B$4,ROW($A52)-ROW($A$5),0,1,1)=$A52,"ok","error!"),IF($E$3="Forecast",IF(OFFSET(Forecast!$B$4,ROW($A52)-ROW($A$5),0,1,1)=$A52,"ok","error!"),IF(OFFSET(TBCY!$B$4,ROW($A52)-ROW($A$5),0,1,1)=$A52,"ok","error!")))</f>
        <v>ok</v>
      </c>
    </row>
    <row r="53" spans="1:3" ht="15" customHeight="1" x14ac:dyDescent="0.3">
      <c r="A53" s="3" t="s">
        <v>202</v>
      </c>
      <c r="B53" s="10">
        <v>0</v>
      </c>
      <c r="C53" s="101" t="str">
        <f ca="1">IF($E$3="Prior",IF(OFFSET(TBPY!$B$4,ROW($A53)-ROW($A$5),0,1,1)=$A53,"ok","error!"),IF($E$3="Forecast",IF(OFFSET(Forecast!$B$4,ROW($A53)-ROW($A$5),0,1,1)=$A53,"ok","error!"),IF(OFFSET(TBCY!$B$4,ROW($A53)-ROW($A$5),0,1,1)=$A53,"ok","error!")))</f>
        <v>ok</v>
      </c>
    </row>
    <row r="54" spans="1:3" ht="15" customHeight="1" x14ac:dyDescent="0.3">
      <c r="A54" s="3" t="s">
        <v>204</v>
      </c>
      <c r="B54" s="10">
        <v>0</v>
      </c>
      <c r="C54" s="101" t="str">
        <f ca="1">IF($E$3="Prior",IF(OFFSET(TBPY!$B$4,ROW($A54)-ROW($A$5),0,1,1)=$A54,"ok","error!"),IF($E$3="Forecast",IF(OFFSET(Forecast!$B$4,ROW($A54)-ROW($A$5),0,1,1)=$A54,"ok","error!"),IF(OFFSET(TBCY!$B$4,ROW($A54)-ROW($A$5),0,1,1)=$A54,"ok","error!")))</f>
        <v>ok</v>
      </c>
    </row>
    <row r="55" spans="1:3" ht="15" customHeight="1" x14ac:dyDescent="0.3">
      <c r="A55" s="3" t="s">
        <v>205</v>
      </c>
      <c r="B55" s="10">
        <v>0</v>
      </c>
      <c r="C55" s="101" t="str">
        <f ca="1">IF($E$3="Prior",IF(OFFSET(TBPY!$B$4,ROW($A55)-ROW($A$5),0,1,1)=$A55,"ok","error!"),IF($E$3="Forecast",IF(OFFSET(Forecast!$B$4,ROW($A55)-ROW($A$5),0,1,1)=$A55,"ok","error!"),IF(OFFSET(TBCY!$B$4,ROW($A55)-ROW($A$5),0,1,1)=$A55,"ok","error!")))</f>
        <v>ok</v>
      </c>
    </row>
    <row r="56" spans="1:3" ht="15" customHeight="1" x14ac:dyDescent="0.3">
      <c r="A56" s="3" t="s">
        <v>206</v>
      </c>
      <c r="B56" s="10">
        <v>0</v>
      </c>
      <c r="C56" s="101" t="str">
        <f ca="1">IF($E$3="Prior",IF(OFFSET(TBPY!$B$4,ROW($A56)-ROW($A$5),0,1,1)=$A56,"ok","error!"),IF($E$3="Forecast",IF(OFFSET(Forecast!$B$4,ROW($A56)-ROW($A$5),0,1,1)=$A56,"ok","error!"),IF(OFFSET(TBCY!$B$4,ROW($A56)-ROW($A$5),0,1,1)=$A56,"ok","error!")))</f>
        <v>ok</v>
      </c>
    </row>
    <row r="57" spans="1:3" ht="15" customHeight="1" x14ac:dyDescent="0.3">
      <c r="A57" s="3" t="s">
        <v>207</v>
      </c>
      <c r="B57" s="10">
        <v>0</v>
      </c>
      <c r="C57" s="101" t="str">
        <f ca="1">IF($E$3="Prior",IF(OFFSET(TBPY!$B$4,ROW($A57)-ROW($A$5),0,1,1)=$A57,"ok","error!"),IF($E$3="Forecast",IF(OFFSET(Forecast!$B$4,ROW($A57)-ROW($A$5),0,1,1)=$A57,"ok","error!"),IF(OFFSET(TBCY!$B$4,ROW($A57)-ROW($A$5),0,1,1)=$A57,"ok","error!")))</f>
        <v>ok</v>
      </c>
    </row>
    <row r="58" spans="1:3" ht="15" customHeight="1" x14ac:dyDescent="0.3">
      <c r="A58" s="3" t="s">
        <v>209</v>
      </c>
      <c r="B58" s="10">
        <v>0</v>
      </c>
      <c r="C58" s="101" t="str">
        <f ca="1">IF($E$3="Prior",IF(OFFSET(TBPY!$B$4,ROW($A58)-ROW($A$5),0,1,1)=$A58,"ok","error!"),IF($E$3="Forecast",IF(OFFSET(Forecast!$B$4,ROW($A58)-ROW($A$5),0,1,1)=$A58,"ok","error!"),IF(OFFSET(TBCY!$B$4,ROW($A58)-ROW($A$5),0,1,1)=$A58,"ok","error!")))</f>
        <v>ok</v>
      </c>
    </row>
    <row r="59" spans="1:3" ht="15" customHeight="1" x14ac:dyDescent="0.3">
      <c r="A59" s="3" t="s">
        <v>211</v>
      </c>
      <c r="B59" s="10">
        <v>0</v>
      </c>
      <c r="C59" s="101" t="str">
        <f ca="1">IF($E$3="Prior",IF(OFFSET(TBPY!$B$4,ROW($A59)-ROW($A$5),0,1,1)=$A59,"ok","error!"),IF($E$3="Forecast",IF(OFFSET(Forecast!$B$4,ROW($A59)-ROW($A$5),0,1,1)=$A59,"ok","error!"),IF(OFFSET(TBCY!$B$4,ROW($A59)-ROW($A$5),0,1,1)=$A59,"ok","error!")))</f>
        <v>ok</v>
      </c>
    </row>
  </sheetData>
  <conditionalFormatting sqref="C6:C59">
    <cfRule type="cellIs" dxfId="2" priority="3" stopIfTrue="1" operator="equal">
      <formula>"error!"</formula>
    </cfRule>
  </conditionalFormatting>
  <conditionalFormatting sqref="C4">
    <cfRule type="cellIs" dxfId="1" priority="2" stopIfTrue="1" operator="equal">
      <formula>"error!"</formula>
    </cfRule>
  </conditionalFormatting>
  <conditionalFormatting sqref="B4">
    <cfRule type="expression" dxfId="0" priority="1" stopIfTrue="1">
      <formula>ROUND(B4,2)&lt;&gt;0</formula>
    </cfRule>
  </conditionalFormatting>
  <dataValidations count="1">
    <dataValidation type="list" allowBlank="1" showInputMessage="1" showErrorMessage="1" errorTitle="Invalid Data" error="Select a valid item from the list box." sqref="E3" xr:uid="{00000000-0002-0000-0B00-000000000000}">
      <formula1>"Current,Prior,Forecast"</formula1>
    </dataValidation>
  </dataValidations>
  <pageMargins left="0.55118110236220474" right="0.55118110236220474" top="0.55118110236220474" bottom="0.55118110236220474" header="0.39370078740157483" footer="0.39370078740157483"/>
  <pageSetup paperSize="57" fitToHeight="0" orientation="portrait" horizontalDpi="0" verticalDpi="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5"/>
  <sheetViews>
    <sheetView zoomScale="95" zoomScaleNormal="95" workbookViewId="0">
      <pane ySplit="4" topLeftCell="A17" activePane="bottomLeft" state="frozen"/>
      <selection pane="bottomLeft" activeCell="A4" sqref="A4"/>
    </sheetView>
  </sheetViews>
  <sheetFormatPr defaultColWidth="9.1328125" defaultRowHeight="15" customHeight="1" x14ac:dyDescent="0.3"/>
  <cols>
    <col min="1" max="1" width="10.73046875" style="3" customWidth="1"/>
    <col min="2" max="2" width="61.3984375" style="3" bestFit="1" customWidth="1"/>
    <col min="3" max="14" width="15.73046875" style="3" customWidth="1"/>
    <col min="15" max="16384" width="9.1328125" style="3"/>
  </cols>
  <sheetData>
    <row r="1" spans="1:2" x14ac:dyDescent="0.4">
      <c r="A1" s="2" t="s">
        <v>129</v>
      </c>
    </row>
    <row r="2" spans="1:2" ht="15" customHeight="1" x14ac:dyDescent="0.35">
      <c r="A2" s="4" t="s">
        <v>276</v>
      </c>
    </row>
    <row r="3" spans="1:2" ht="15" customHeight="1" x14ac:dyDescent="0.3">
      <c r="A3" s="12" t="s">
        <v>128</v>
      </c>
    </row>
    <row r="4" spans="1:2" ht="18" customHeight="1" x14ac:dyDescent="0.3">
      <c r="A4" s="18" t="s">
        <v>13</v>
      </c>
      <c r="B4" s="18" t="s">
        <v>74</v>
      </c>
    </row>
    <row r="5" spans="1:2" ht="15" customHeight="1" x14ac:dyDescent="0.35">
      <c r="A5" s="4" t="s">
        <v>123</v>
      </c>
    </row>
    <row r="6" spans="1:2" ht="15" customHeight="1" x14ac:dyDescent="0.3">
      <c r="A6" s="6" t="s">
        <v>95</v>
      </c>
      <c r="B6" s="3" t="s">
        <v>55</v>
      </c>
    </row>
    <row r="7" spans="1:2" ht="15" customHeight="1" x14ac:dyDescent="0.3">
      <c r="A7" s="6" t="s">
        <v>96</v>
      </c>
      <c r="B7" s="3" t="s">
        <v>73</v>
      </c>
    </row>
    <row r="8" spans="1:2" ht="15" customHeight="1" x14ac:dyDescent="0.3">
      <c r="A8" s="6" t="s">
        <v>97</v>
      </c>
      <c r="B8" s="7" t="s">
        <v>120</v>
      </c>
    </row>
    <row r="9" spans="1:2" ht="15" customHeight="1" x14ac:dyDescent="0.3">
      <c r="A9" s="6" t="s">
        <v>98</v>
      </c>
      <c r="B9" s="7" t="s">
        <v>6</v>
      </c>
    </row>
    <row r="10" spans="1:2" ht="15" customHeight="1" x14ac:dyDescent="0.3">
      <c r="A10" s="6" t="s">
        <v>99</v>
      </c>
      <c r="B10" s="3" t="s">
        <v>62</v>
      </c>
    </row>
    <row r="11" spans="1:2" ht="15" customHeight="1" x14ac:dyDescent="0.3">
      <c r="A11" s="6" t="s">
        <v>100</v>
      </c>
      <c r="B11" s="3" t="s">
        <v>7</v>
      </c>
    </row>
    <row r="12" spans="1:2" ht="15" customHeight="1" x14ac:dyDescent="0.3">
      <c r="A12" s="6" t="s">
        <v>101</v>
      </c>
      <c r="B12" s="3" t="s">
        <v>8</v>
      </c>
    </row>
    <row r="13" spans="1:2" ht="15" customHeight="1" x14ac:dyDescent="0.3">
      <c r="A13" s="6" t="s">
        <v>102</v>
      </c>
      <c r="B13" s="3" t="s">
        <v>9</v>
      </c>
    </row>
    <row r="14" spans="1:2" ht="15" customHeight="1" x14ac:dyDescent="0.3">
      <c r="A14" s="6" t="s">
        <v>103</v>
      </c>
      <c r="B14" s="3" t="s">
        <v>10</v>
      </c>
    </row>
    <row r="15" spans="1:2" ht="15" customHeight="1" x14ac:dyDescent="0.3">
      <c r="A15" s="6" t="s">
        <v>104</v>
      </c>
      <c r="B15" s="3" t="s">
        <v>12</v>
      </c>
    </row>
    <row r="16" spans="1:2" ht="15" customHeight="1" x14ac:dyDescent="0.35">
      <c r="A16" s="4" t="s">
        <v>124</v>
      </c>
    </row>
    <row r="17" spans="1:2" ht="15" customHeight="1" x14ac:dyDescent="0.3">
      <c r="A17" s="6" t="s">
        <v>235</v>
      </c>
      <c r="B17" s="3" t="s">
        <v>17</v>
      </c>
    </row>
    <row r="18" spans="1:2" ht="15" customHeight="1" x14ac:dyDescent="0.3">
      <c r="A18" s="6" t="s">
        <v>236</v>
      </c>
      <c r="B18" s="3" t="s">
        <v>18</v>
      </c>
    </row>
    <row r="19" spans="1:2" ht="15" customHeight="1" x14ac:dyDescent="0.3">
      <c r="A19" s="6" t="s">
        <v>106</v>
      </c>
      <c r="B19" s="3" t="s">
        <v>16</v>
      </c>
    </row>
    <row r="20" spans="1:2" ht="15" customHeight="1" x14ac:dyDescent="0.3">
      <c r="A20" s="6" t="s">
        <v>107</v>
      </c>
      <c r="B20" s="3" t="s">
        <v>121</v>
      </c>
    </row>
    <row r="21" spans="1:2" ht="15" customHeight="1" x14ac:dyDescent="0.3">
      <c r="A21" s="6" t="s">
        <v>237</v>
      </c>
      <c r="B21" s="3" t="s">
        <v>208</v>
      </c>
    </row>
    <row r="22" spans="1:2" ht="15" customHeight="1" x14ac:dyDescent="0.3">
      <c r="A22" s="6" t="s">
        <v>105</v>
      </c>
      <c r="B22" s="3" t="s">
        <v>57</v>
      </c>
    </row>
    <row r="23" spans="1:2" ht="15" customHeight="1" x14ac:dyDescent="0.3">
      <c r="A23" s="6" t="s">
        <v>114</v>
      </c>
      <c r="B23" s="3" t="s">
        <v>58</v>
      </c>
    </row>
    <row r="24" spans="1:2" ht="15" customHeight="1" x14ac:dyDescent="0.3">
      <c r="A24" s="6" t="s">
        <v>115</v>
      </c>
      <c r="B24" s="3" t="s">
        <v>91</v>
      </c>
    </row>
    <row r="25" spans="1:2" ht="15" customHeight="1" x14ac:dyDescent="0.35">
      <c r="A25" s="4" t="s">
        <v>125</v>
      </c>
    </row>
    <row r="26" spans="1:2" ht="15" customHeight="1" x14ac:dyDescent="0.3">
      <c r="A26" s="6" t="s">
        <v>117</v>
      </c>
      <c r="B26" s="3" t="s">
        <v>26</v>
      </c>
    </row>
    <row r="27" spans="1:2" ht="15" customHeight="1" x14ac:dyDescent="0.3">
      <c r="A27" s="6" t="s">
        <v>118</v>
      </c>
      <c r="B27" s="3" t="s">
        <v>11</v>
      </c>
    </row>
    <row r="28" spans="1:2" ht="15" customHeight="1" x14ac:dyDescent="0.35">
      <c r="A28" s="4" t="s">
        <v>126</v>
      </c>
    </row>
    <row r="29" spans="1:2" ht="15" customHeight="1" x14ac:dyDescent="0.3">
      <c r="A29" s="6" t="s">
        <v>108</v>
      </c>
      <c r="B29" s="3" t="s">
        <v>84</v>
      </c>
    </row>
    <row r="30" spans="1:2" ht="15" customHeight="1" x14ac:dyDescent="0.3">
      <c r="A30" s="6" t="s">
        <v>109</v>
      </c>
      <c r="B30" s="3" t="s">
        <v>85</v>
      </c>
    </row>
    <row r="31" spans="1:2" ht="15" customHeight="1" x14ac:dyDescent="0.3">
      <c r="A31" s="6" t="s">
        <v>110</v>
      </c>
      <c r="B31" s="3" t="s">
        <v>34</v>
      </c>
    </row>
    <row r="32" spans="1:2" ht="15" customHeight="1" x14ac:dyDescent="0.3">
      <c r="A32" s="6" t="s">
        <v>116</v>
      </c>
      <c r="B32" s="3" t="s">
        <v>86</v>
      </c>
    </row>
    <row r="33" spans="1:2" ht="15" customHeight="1" x14ac:dyDescent="0.3">
      <c r="A33" s="6" t="s">
        <v>111</v>
      </c>
      <c r="B33" s="3" t="s">
        <v>35</v>
      </c>
    </row>
    <row r="34" spans="1:2" ht="15" customHeight="1" x14ac:dyDescent="0.3">
      <c r="A34" s="6" t="s">
        <v>113</v>
      </c>
      <c r="B34" s="3" t="s">
        <v>94</v>
      </c>
    </row>
    <row r="35" spans="1:2" ht="15" customHeight="1" x14ac:dyDescent="0.3">
      <c r="A35" s="6" t="s">
        <v>112</v>
      </c>
      <c r="B35" s="3" t="s">
        <v>36</v>
      </c>
    </row>
  </sheetData>
  <pageMargins left="0.55118110236220474" right="0.55118110236220474" top="0.55118110236220474" bottom="0.55118110236220474" header="0.39370078740157483" footer="0.39370078740157483"/>
  <pageSetup paperSize="9" orientation="portrait" r:id="rId1"/>
  <headerFooter>
    <oddFooter>&amp;C&amp;9Page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58"/>
  <sheetViews>
    <sheetView zoomScale="95" zoomScaleNormal="95" workbookViewId="0">
      <pane ySplit="4" topLeftCell="A35" activePane="bottomLeft" state="frozen"/>
      <selection pane="bottomLeft" activeCell="A4" sqref="A4"/>
    </sheetView>
  </sheetViews>
  <sheetFormatPr defaultColWidth="9.1328125" defaultRowHeight="15" customHeight="1" x14ac:dyDescent="0.3"/>
  <cols>
    <col min="1" max="1" width="16.73046875" style="9" customWidth="1"/>
    <col min="2" max="2" width="30.73046875" style="9" customWidth="1"/>
    <col min="3" max="3" width="15.73046875" style="13" customWidth="1"/>
    <col min="4" max="4" width="10.73046875" style="80" customWidth="1"/>
    <col min="5" max="16384" width="9.1328125" style="3"/>
  </cols>
  <sheetData>
    <row r="1" spans="1:4" x14ac:dyDescent="0.4">
      <c r="A1" s="8" t="str">
        <f>'Set-up'!$B$4</f>
        <v>ABC Trading (Pty) Limited</v>
      </c>
    </row>
    <row r="2" spans="1:4" ht="15" customHeight="1" x14ac:dyDescent="0.35">
      <c r="A2" s="11" t="s">
        <v>132</v>
      </c>
    </row>
    <row r="3" spans="1:4" ht="15" customHeight="1" x14ac:dyDescent="0.3">
      <c r="A3" s="12" t="s">
        <v>128</v>
      </c>
    </row>
    <row r="4" spans="1:4" s="21" customFormat="1" ht="18" customHeight="1" x14ac:dyDescent="0.35">
      <c r="A4" s="81" t="s">
        <v>61</v>
      </c>
      <c r="B4" s="81" t="s">
        <v>14</v>
      </c>
      <c r="C4" s="82" t="s">
        <v>13</v>
      </c>
      <c r="D4" s="83" t="s">
        <v>279</v>
      </c>
    </row>
    <row r="5" spans="1:4" ht="15" customHeight="1" x14ac:dyDescent="0.3">
      <c r="A5" s="9" t="s">
        <v>78</v>
      </c>
      <c r="B5" s="9" t="s">
        <v>127</v>
      </c>
      <c r="C5" s="3" t="s">
        <v>235</v>
      </c>
      <c r="D5" s="80">
        <f t="shared" ref="D5:D36" ca="1" si="0">IF(ISBLANK($C5)=TRUE,1,IF(ISNA(MATCH($C5,ISCode,0))=TRUE,IF(ISNA(MATCH($C5,BSCode,0))=TRUE,IF(ISNA(MATCH($C5,CFSCode,0))=TRUE,1,0),0),0))</f>
        <v>0</v>
      </c>
    </row>
    <row r="6" spans="1:4" ht="15" customHeight="1" x14ac:dyDescent="0.3">
      <c r="A6" s="9" t="s">
        <v>79</v>
      </c>
      <c r="B6" s="9" t="s">
        <v>169</v>
      </c>
      <c r="C6" s="3" t="s">
        <v>235</v>
      </c>
      <c r="D6" s="80">
        <f t="shared" ca="1" si="0"/>
        <v>0</v>
      </c>
    </row>
    <row r="7" spans="1:4" ht="15" customHeight="1" x14ac:dyDescent="0.3">
      <c r="A7" s="9" t="s">
        <v>80</v>
      </c>
      <c r="B7" s="9" t="s">
        <v>16</v>
      </c>
      <c r="C7" s="3" t="s">
        <v>106</v>
      </c>
      <c r="D7" s="80">
        <f t="shared" ca="1" si="0"/>
        <v>0</v>
      </c>
    </row>
    <row r="8" spans="1:4" ht="15" customHeight="1" x14ac:dyDescent="0.3">
      <c r="A8" s="9" t="s">
        <v>89</v>
      </c>
      <c r="B8" s="9" t="s">
        <v>170</v>
      </c>
      <c r="C8" s="3" t="s">
        <v>114</v>
      </c>
      <c r="D8" s="80">
        <f t="shared" ca="1" si="0"/>
        <v>0</v>
      </c>
    </row>
    <row r="9" spans="1:4" ht="15" customHeight="1" x14ac:dyDescent="0.3">
      <c r="A9" s="9" t="s">
        <v>148</v>
      </c>
      <c r="B9" s="9" t="s">
        <v>171</v>
      </c>
      <c r="C9" s="3" t="s">
        <v>115</v>
      </c>
      <c r="D9" s="80">
        <f t="shared" ca="1" si="0"/>
        <v>0</v>
      </c>
    </row>
    <row r="10" spans="1:4" ht="15" customHeight="1" x14ac:dyDescent="0.3">
      <c r="A10" s="9" t="s">
        <v>149</v>
      </c>
      <c r="B10" s="9" t="s">
        <v>172</v>
      </c>
      <c r="C10" s="3" t="s">
        <v>105</v>
      </c>
      <c r="D10" s="80">
        <f t="shared" ca="1" si="0"/>
        <v>0</v>
      </c>
    </row>
    <row r="11" spans="1:4" ht="15" customHeight="1" x14ac:dyDescent="0.3">
      <c r="A11" s="9" t="s">
        <v>75</v>
      </c>
      <c r="B11" s="9" t="s">
        <v>173</v>
      </c>
      <c r="C11" s="3" t="s">
        <v>110</v>
      </c>
      <c r="D11" s="80">
        <f t="shared" ca="1" si="0"/>
        <v>0</v>
      </c>
    </row>
    <row r="12" spans="1:4" ht="15" customHeight="1" x14ac:dyDescent="0.3">
      <c r="A12" s="9" t="s">
        <v>263</v>
      </c>
      <c r="B12" s="9" t="s">
        <v>266</v>
      </c>
      <c r="C12" s="3" t="s">
        <v>111</v>
      </c>
      <c r="D12" s="80">
        <f t="shared" ca="1" si="0"/>
        <v>0</v>
      </c>
    </row>
    <row r="13" spans="1:4" ht="15" customHeight="1" x14ac:dyDescent="0.3">
      <c r="A13" s="9" t="s">
        <v>264</v>
      </c>
      <c r="B13" s="9" t="s">
        <v>267</v>
      </c>
      <c r="C13" s="3" t="s">
        <v>113</v>
      </c>
      <c r="D13" s="80">
        <f t="shared" ca="1" si="0"/>
        <v>0</v>
      </c>
    </row>
    <row r="14" spans="1:4" ht="15" customHeight="1" x14ac:dyDescent="0.3">
      <c r="A14" s="9" t="s">
        <v>265</v>
      </c>
      <c r="B14" s="9" t="s">
        <v>268</v>
      </c>
      <c r="C14" s="3" t="s">
        <v>112</v>
      </c>
      <c r="D14" s="80">
        <f t="shared" ca="1" si="0"/>
        <v>0</v>
      </c>
    </row>
    <row r="15" spans="1:4" ht="15" customHeight="1" x14ac:dyDescent="0.3">
      <c r="A15" s="9" t="s">
        <v>269</v>
      </c>
      <c r="B15" s="9" t="s">
        <v>86</v>
      </c>
      <c r="C15" s="3" t="s">
        <v>116</v>
      </c>
      <c r="D15" s="80">
        <f t="shared" ca="1" si="0"/>
        <v>0</v>
      </c>
    </row>
    <row r="16" spans="1:4" ht="15" customHeight="1" x14ac:dyDescent="0.3">
      <c r="A16" s="9" t="s">
        <v>77</v>
      </c>
      <c r="B16" s="9" t="s">
        <v>174</v>
      </c>
      <c r="C16" s="3" t="s">
        <v>110</v>
      </c>
      <c r="D16" s="80">
        <f t="shared" ca="1" si="0"/>
        <v>0</v>
      </c>
    </row>
    <row r="17" spans="1:4" ht="15" customHeight="1" x14ac:dyDescent="0.3">
      <c r="A17" s="9" t="s">
        <v>87</v>
      </c>
      <c r="B17" s="9" t="s">
        <v>83</v>
      </c>
      <c r="C17" s="3" t="s">
        <v>108</v>
      </c>
      <c r="D17" s="80">
        <f t="shared" ca="1" si="0"/>
        <v>0</v>
      </c>
    </row>
    <row r="18" spans="1:4" ht="15" customHeight="1" x14ac:dyDescent="0.3">
      <c r="A18" s="9" t="s">
        <v>82</v>
      </c>
      <c r="B18" s="9" t="s">
        <v>23</v>
      </c>
      <c r="C18" s="3" t="s">
        <v>117</v>
      </c>
      <c r="D18" s="80">
        <f t="shared" ca="1" si="0"/>
        <v>0</v>
      </c>
    </row>
    <row r="19" spans="1:4" ht="15" customHeight="1" x14ac:dyDescent="0.3">
      <c r="A19" s="9" t="s">
        <v>81</v>
      </c>
      <c r="B19" s="9" t="s">
        <v>175</v>
      </c>
      <c r="C19" s="3" t="s">
        <v>118</v>
      </c>
      <c r="D19" s="80">
        <f t="shared" ca="1" si="0"/>
        <v>0</v>
      </c>
    </row>
    <row r="20" spans="1:4" ht="15" customHeight="1" x14ac:dyDescent="0.3">
      <c r="A20" s="9" t="s">
        <v>59</v>
      </c>
      <c r="B20" s="9" t="s">
        <v>176</v>
      </c>
      <c r="C20" s="3" t="s">
        <v>95</v>
      </c>
      <c r="D20" s="80">
        <f t="shared" ca="1" si="0"/>
        <v>0</v>
      </c>
    </row>
    <row r="21" spans="1:4" ht="15" customHeight="1" x14ac:dyDescent="0.3">
      <c r="A21" s="9" t="s">
        <v>60</v>
      </c>
      <c r="B21" s="9" t="s">
        <v>177</v>
      </c>
      <c r="C21" s="3" t="s">
        <v>97</v>
      </c>
      <c r="D21" s="80">
        <f t="shared" ca="1" si="0"/>
        <v>0</v>
      </c>
    </row>
    <row r="22" spans="1:4" ht="15" customHeight="1" x14ac:dyDescent="0.3">
      <c r="A22" s="9" t="s">
        <v>63</v>
      </c>
      <c r="B22" s="9" t="s">
        <v>178</v>
      </c>
      <c r="C22" s="3" t="s">
        <v>212</v>
      </c>
      <c r="D22" s="80">
        <f t="shared" ca="1" si="0"/>
        <v>0</v>
      </c>
    </row>
    <row r="23" spans="1:4" ht="15" customHeight="1" x14ac:dyDescent="0.3">
      <c r="A23" s="9" t="s">
        <v>64</v>
      </c>
      <c r="B23" s="9" t="s">
        <v>69</v>
      </c>
      <c r="C23" s="3" t="s">
        <v>218</v>
      </c>
      <c r="D23" s="80">
        <f t="shared" ca="1" si="0"/>
        <v>0</v>
      </c>
    </row>
    <row r="24" spans="1:4" ht="15" customHeight="1" x14ac:dyDescent="0.3">
      <c r="A24" s="9" t="s">
        <v>65</v>
      </c>
      <c r="B24" s="9" t="s">
        <v>179</v>
      </c>
      <c r="C24" s="3" t="s">
        <v>213</v>
      </c>
      <c r="D24" s="80">
        <f t="shared" ca="1" si="0"/>
        <v>0</v>
      </c>
    </row>
    <row r="25" spans="1:4" ht="15" customHeight="1" x14ac:dyDescent="0.3">
      <c r="A25" s="9" t="s">
        <v>150</v>
      </c>
      <c r="B25" s="9" t="s">
        <v>180</v>
      </c>
      <c r="C25" s="3" t="s">
        <v>214</v>
      </c>
      <c r="D25" s="80">
        <f t="shared" ca="1" si="0"/>
        <v>0</v>
      </c>
    </row>
    <row r="26" spans="1:4" ht="15" customHeight="1" x14ac:dyDescent="0.3">
      <c r="A26" s="9" t="s">
        <v>151</v>
      </c>
      <c r="B26" s="9" t="s">
        <v>181</v>
      </c>
      <c r="C26" s="3" t="s">
        <v>215</v>
      </c>
      <c r="D26" s="80">
        <f t="shared" ca="1" si="0"/>
        <v>0</v>
      </c>
    </row>
    <row r="27" spans="1:4" ht="15" customHeight="1" x14ac:dyDescent="0.3">
      <c r="A27" s="9" t="s">
        <v>152</v>
      </c>
      <c r="B27" s="9" t="s">
        <v>182</v>
      </c>
      <c r="C27" s="3" t="s">
        <v>216</v>
      </c>
      <c r="D27" s="80">
        <f t="shared" ca="1" si="0"/>
        <v>0</v>
      </c>
    </row>
    <row r="28" spans="1:4" ht="15" customHeight="1" x14ac:dyDescent="0.3">
      <c r="A28" s="9" t="s">
        <v>153</v>
      </c>
      <c r="B28" s="9" t="s">
        <v>183</v>
      </c>
      <c r="C28" s="3" t="s">
        <v>219</v>
      </c>
      <c r="D28" s="80">
        <f t="shared" ca="1" si="0"/>
        <v>0</v>
      </c>
    </row>
    <row r="29" spans="1:4" ht="15" customHeight="1" x14ac:dyDescent="0.3">
      <c r="A29" s="9" t="s">
        <v>154</v>
      </c>
      <c r="B29" s="9" t="s">
        <v>184</v>
      </c>
      <c r="C29" s="3" t="s">
        <v>220</v>
      </c>
      <c r="D29" s="80">
        <f t="shared" ca="1" si="0"/>
        <v>0</v>
      </c>
    </row>
    <row r="30" spans="1:4" ht="15" customHeight="1" x14ac:dyDescent="0.3">
      <c r="A30" s="9" t="s">
        <v>155</v>
      </c>
      <c r="B30" s="9" t="s">
        <v>185</v>
      </c>
      <c r="C30" s="3" t="s">
        <v>221</v>
      </c>
      <c r="D30" s="80">
        <f t="shared" ca="1" si="0"/>
        <v>0</v>
      </c>
    </row>
    <row r="31" spans="1:4" ht="15" customHeight="1" x14ac:dyDescent="0.3">
      <c r="A31" s="9" t="s">
        <v>156</v>
      </c>
      <c r="B31" s="9" t="s">
        <v>186</v>
      </c>
      <c r="C31" s="3" t="s">
        <v>222</v>
      </c>
      <c r="D31" s="80">
        <f t="shared" ca="1" si="0"/>
        <v>0</v>
      </c>
    </row>
    <row r="32" spans="1:4" ht="15" customHeight="1" x14ac:dyDescent="0.3">
      <c r="A32" s="9" t="s">
        <v>157</v>
      </c>
      <c r="B32" s="9" t="s">
        <v>187</v>
      </c>
      <c r="C32" s="3" t="s">
        <v>223</v>
      </c>
      <c r="D32" s="80">
        <f t="shared" ca="1" si="0"/>
        <v>0</v>
      </c>
    </row>
    <row r="33" spans="1:4" ht="15" customHeight="1" x14ac:dyDescent="0.3">
      <c r="A33" s="9" t="s">
        <v>158</v>
      </c>
      <c r="B33" s="9" t="s">
        <v>188</v>
      </c>
      <c r="C33" s="3" t="s">
        <v>224</v>
      </c>
      <c r="D33" s="80">
        <f t="shared" ca="1" si="0"/>
        <v>0</v>
      </c>
    </row>
    <row r="34" spans="1:4" ht="15" customHeight="1" x14ac:dyDescent="0.3">
      <c r="A34" s="9" t="s">
        <v>159</v>
      </c>
      <c r="B34" s="9" t="s">
        <v>189</v>
      </c>
      <c r="C34" s="3" t="s">
        <v>225</v>
      </c>
      <c r="D34" s="80">
        <f t="shared" ca="1" si="0"/>
        <v>0</v>
      </c>
    </row>
    <row r="35" spans="1:4" ht="15" customHeight="1" x14ac:dyDescent="0.3">
      <c r="A35" s="9" t="s">
        <v>160</v>
      </c>
      <c r="B35" s="9" t="s">
        <v>190</v>
      </c>
      <c r="C35" s="3" t="s">
        <v>226</v>
      </c>
      <c r="D35" s="80">
        <f t="shared" ca="1" si="0"/>
        <v>0</v>
      </c>
    </row>
    <row r="36" spans="1:4" ht="15" customHeight="1" x14ac:dyDescent="0.3">
      <c r="A36" s="9" t="s">
        <v>161</v>
      </c>
      <c r="B36" s="9" t="s">
        <v>191</v>
      </c>
      <c r="C36" s="3" t="s">
        <v>227</v>
      </c>
      <c r="D36" s="80">
        <f t="shared" ca="1" si="0"/>
        <v>0</v>
      </c>
    </row>
    <row r="37" spans="1:4" ht="15" customHeight="1" x14ac:dyDescent="0.3">
      <c r="A37" s="9" t="s">
        <v>162</v>
      </c>
      <c r="B37" s="9" t="s">
        <v>192</v>
      </c>
      <c r="C37" s="3" t="s">
        <v>228</v>
      </c>
      <c r="D37" s="80">
        <f t="shared" ref="D37:D58" ca="1" si="1">IF(ISBLANK($C37)=TRUE,1,IF(ISNA(MATCH($C37,ISCode,0))=TRUE,IF(ISNA(MATCH($C37,BSCode,0))=TRUE,IF(ISNA(MATCH($C37,CFSCode,0))=TRUE,1,0),0),0))</f>
        <v>0</v>
      </c>
    </row>
    <row r="38" spans="1:4" ht="15" customHeight="1" x14ac:dyDescent="0.3">
      <c r="A38" s="9" t="s">
        <v>163</v>
      </c>
      <c r="B38" s="9" t="s">
        <v>193</v>
      </c>
      <c r="C38" s="3" t="s">
        <v>229</v>
      </c>
      <c r="D38" s="80">
        <f t="shared" ca="1" si="1"/>
        <v>0</v>
      </c>
    </row>
    <row r="39" spans="1:4" ht="15" customHeight="1" x14ac:dyDescent="0.3">
      <c r="A39" s="9" t="s">
        <v>164</v>
      </c>
      <c r="B39" s="9" t="s">
        <v>194</v>
      </c>
      <c r="C39" s="3" t="s">
        <v>230</v>
      </c>
      <c r="D39" s="80">
        <f t="shared" ca="1" si="1"/>
        <v>0</v>
      </c>
    </row>
    <row r="40" spans="1:4" ht="15" customHeight="1" x14ac:dyDescent="0.3">
      <c r="A40" s="9" t="s">
        <v>165</v>
      </c>
      <c r="B40" s="9" t="s">
        <v>195</v>
      </c>
      <c r="C40" s="3" t="s">
        <v>231</v>
      </c>
      <c r="D40" s="80">
        <f t="shared" ca="1" si="1"/>
        <v>0</v>
      </c>
    </row>
    <row r="41" spans="1:4" ht="15" customHeight="1" x14ac:dyDescent="0.3">
      <c r="A41" s="9" t="s">
        <v>166</v>
      </c>
      <c r="B41" s="9" t="s">
        <v>196</v>
      </c>
      <c r="C41" s="3" t="s">
        <v>217</v>
      </c>
      <c r="D41" s="80">
        <f t="shared" ca="1" si="1"/>
        <v>0</v>
      </c>
    </row>
    <row r="42" spans="1:4" ht="15" customHeight="1" x14ac:dyDescent="0.3">
      <c r="A42" s="9" t="s">
        <v>167</v>
      </c>
      <c r="B42" s="9" t="s">
        <v>71</v>
      </c>
      <c r="C42" s="3" t="s">
        <v>102</v>
      </c>
      <c r="D42" s="80">
        <f t="shared" ca="1" si="1"/>
        <v>0</v>
      </c>
    </row>
    <row r="43" spans="1:4" s="10" customFormat="1" ht="15" customHeight="1" x14ac:dyDescent="0.3">
      <c r="A43" s="9" t="s">
        <v>67</v>
      </c>
      <c r="B43" s="9" t="s">
        <v>197</v>
      </c>
      <c r="C43" s="3" t="s">
        <v>103</v>
      </c>
      <c r="D43" s="80">
        <f t="shared" ca="1" si="1"/>
        <v>0</v>
      </c>
    </row>
    <row r="44" spans="1:4" s="10" customFormat="1" ht="15" customHeight="1" x14ac:dyDescent="0.3">
      <c r="A44" s="9" t="s">
        <v>68</v>
      </c>
      <c r="B44" s="9" t="s">
        <v>72</v>
      </c>
      <c r="C44" s="3" t="s">
        <v>104</v>
      </c>
      <c r="D44" s="80">
        <f t="shared" ca="1" si="1"/>
        <v>0</v>
      </c>
    </row>
    <row r="45" spans="1:4" s="10" customFormat="1" ht="15" customHeight="1" x14ac:dyDescent="0.3">
      <c r="A45" s="9" t="s">
        <v>66</v>
      </c>
      <c r="B45" s="9" t="s">
        <v>70</v>
      </c>
      <c r="C45" s="3" t="s">
        <v>232</v>
      </c>
      <c r="D45" s="80">
        <f t="shared" ca="1" si="1"/>
        <v>0</v>
      </c>
    </row>
    <row r="46" spans="1:4" s="10" customFormat="1" ht="15" customHeight="1" x14ac:dyDescent="0.3">
      <c r="A46" s="9" t="s">
        <v>168</v>
      </c>
      <c r="B46" s="9" t="s">
        <v>5</v>
      </c>
      <c r="C46" s="3" t="s">
        <v>96</v>
      </c>
      <c r="D46" s="80">
        <f t="shared" ca="1" si="1"/>
        <v>0</v>
      </c>
    </row>
    <row r="47" spans="1:4" s="10" customFormat="1" ht="15" customHeight="1" x14ac:dyDescent="0.3">
      <c r="A47" s="9" t="s">
        <v>256</v>
      </c>
      <c r="B47" s="9" t="s">
        <v>257</v>
      </c>
      <c r="C47" s="3" t="s">
        <v>258</v>
      </c>
      <c r="D47" s="80">
        <f t="shared" ca="1" si="1"/>
        <v>0</v>
      </c>
    </row>
    <row r="48" spans="1:4" s="10" customFormat="1" ht="15" customHeight="1" x14ac:dyDescent="0.3">
      <c r="A48" s="9" t="s">
        <v>260</v>
      </c>
      <c r="B48" s="9" t="s">
        <v>261</v>
      </c>
      <c r="C48" s="3" t="s">
        <v>262</v>
      </c>
      <c r="D48" s="80">
        <f t="shared" ca="1" si="1"/>
        <v>0</v>
      </c>
    </row>
    <row r="49" spans="1:4" s="10" customFormat="1" ht="15" customHeight="1" x14ac:dyDescent="0.3">
      <c r="A49" s="9" t="s">
        <v>272</v>
      </c>
      <c r="B49" s="9" t="s">
        <v>273</v>
      </c>
      <c r="C49" s="3" t="s">
        <v>274</v>
      </c>
      <c r="D49" s="80">
        <f t="shared" ca="1" si="1"/>
        <v>0</v>
      </c>
    </row>
    <row r="50" spans="1:4" ht="15" customHeight="1" x14ac:dyDescent="0.3">
      <c r="A50" s="9" t="s">
        <v>198</v>
      </c>
      <c r="B50" s="9" t="s">
        <v>199</v>
      </c>
      <c r="C50" s="3" t="s">
        <v>115</v>
      </c>
      <c r="D50" s="80">
        <f t="shared" ca="1" si="1"/>
        <v>0</v>
      </c>
    </row>
    <row r="51" spans="1:4" ht="15" customHeight="1" x14ac:dyDescent="0.3">
      <c r="A51" s="9" t="s">
        <v>200</v>
      </c>
      <c r="B51" s="9" t="s">
        <v>201</v>
      </c>
      <c r="C51" s="3" t="s">
        <v>115</v>
      </c>
      <c r="D51" s="80">
        <f t="shared" ca="1" si="1"/>
        <v>0</v>
      </c>
    </row>
    <row r="52" spans="1:4" ht="15" customHeight="1" x14ac:dyDescent="0.3">
      <c r="A52" s="9" t="s">
        <v>202</v>
      </c>
      <c r="B52" s="9" t="s">
        <v>203</v>
      </c>
      <c r="C52" s="3" t="s">
        <v>115</v>
      </c>
      <c r="D52" s="80">
        <f t="shared" ca="1" si="1"/>
        <v>0</v>
      </c>
    </row>
    <row r="53" spans="1:4" ht="15" customHeight="1" x14ac:dyDescent="0.3">
      <c r="A53" s="9" t="s">
        <v>204</v>
      </c>
      <c r="B53" s="9" t="s">
        <v>90</v>
      </c>
      <c r="C53" s="3" t="s">
        <v>114</v>
      </c>
      <c r="D53" s="80">
        <f t="shared" ca="1" si="1"/>
        <v>0</v>
      </c>
    </row>
    <row r="54" spans="1:4" ht="15" customHeight="1" x14ac:dyDescent="0.3">
      <c r="A54" s="9" t="s">
        <v>205</v>
      </c>
      <c r="B54" s="9" t="s">
        <v>76</v>
      </c>
      <c r="C54" s="3" t="s">
        <v>105</v>
      </c>
      <c r="D54" s="80">
        <f t="shared" ca="1" si="1"/>
        <v>0</v>
      </c>
    </row>
    <row r="55" spans="1:4" ht="15" customHeight="1" x14ac:dyDescent="0.3">
      <c r="A55" s="9" t="s">
        <v>206</v>
      </c>
      <c r="B55" s="9" t="s">
        <v>88</v>
      </c>
      <c r="C55" s="3" t="s">
        <v>110</v>
      </c>
      <c r="D55" s="80">
        <f t="shared" ca="1" si="1"/>
        <v>0</v>
      </c>
    </row>
    <row r="56" spans="1:4" ht="15" customHeight="1" x14ac:dyDescent="0.3">
      <c r="A56" s="9" t="s">
        <v>207</v>
      </c>
      <c r="B56" s="9" t="s">
        <v>208</v>
      </c>
      <c r="C56" s="3" t="s">
        <v>237</v>
      </c>
      <c r="D56" s="80">
        <f t="shared" ca="1" si="1"/>
        <v>0</v>
      </c>
    </row>
    <row r="57" spans="1:4" ht="15" customHeight="1" x14ac:dyDescent="0.3">
      <c r="A57" s="9" t="s">
        <v>209</v>
      </c>
      <c r="B57" s="9" t="s">
        <v>210</v>
      </c>
      <c r="C57" s="3" t="s">
        <v>97</v>
      </c>
      <c r="D57" s="80">
        <f t="shared" ca="1" si="1"/>
        <v>0</v>
      </c>
    </row>
    <row r="58" spans="1:4" ht="15" customHeight="1" x14ac:dyDescent="0.3">
      <c r="A58" s="9" t="s">
        <v>211</v>
      </c>
      <c r="B58" s="9" t="s">
        <v>24</v>
      </c>
      <c r="C58" s="3" t="s">
        <v>118</v>
      </c>
      <c r="D58" s="80">
        <f t="shared" ca="1" si="1"/>
        <v>0</v>
      </c>
    </row>
  </sheetData>
  <conditionalFormatting sqref="D4">
    <cfRule type="expression" dxfId="13" priority="1" stopIfTrue="1">
      <formula>COUNTIF(KeyStatus,1)&gt;0</formula>
    </cfRule>
  </conditionalFormatting>
  <pageMargins left="0.55118110236220474" right="0.55118110236220474" top="0.55118110236220474" bottom="0.55118110236220474" header="0.39370078740157483" footer="0.39370078740157483"/>
  <pageSetup paperSize="9" fitToHeight="0" orientation="portrait" r:id="rId1"/>
  <headerFooter>
    <oddFooter>&amp;C&amp;9Page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8"/>
  <sheetViews>
    <sheetView zoomScale="95" zoomScaleNormal="95" workbookViewId="0">
      <pane xSplit="3" ySplit="4" topLeftCell="D23" activePane="bottomRight" state="frozen"/>
      <selection pane="topRight" activeCell="E1" sqref="E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6" width="14.73046875" style="10" customWidth="1"/>
    <col min="17" max="19" width="15.73046875" style="10" customWidth="1"/>
    <col min="20" max="16384" width="9.1328125" style="3"/>
  </cols>
  <sheetData>
    <row r="1" spans="1:19" x14ac:dyDescent="0.4">
      <c r="A1" s="14" t="str">
        <f>'Set-up'!$B$4</f>
        <v>ABC Trading (Pty) Limited</v>
      </c>
    </row>
    <row r="2" spans="1:19" ht="15" customHeight="1" x14ac:dyDescent="0.35">
      <c r="A2" s="15" t="s">
        <v>251</v>
      </c>
    </row>
    <row r="3" spans="1:19" ht="15" customHeight="1" x14ac:dyDescent="0.3">
      <c r="A3" s="16" t="s">
        <v>128</v>
      </c>
      <c r="D3" s="10">
        <f t="shared" ref="D3:P3" ca="1" si="0">IF(PYRowCount=0,0,ROUND(SUBTOTAL(9,OFFSET(D$4,1,0,PYRowCount,1)),2))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  <c r="P3" s="10">
        <f t="shared" ca="1" si="0"/>
        <v>0</v>
      </c>
    </row>
    <row r="4" spans="1:19" s="21" customFormat="1" ht="18" customHeight="1" x14ac:dyDescent="0.35">
      <c r="A4" s="18" t="s">
        <v>13</v>
      </c>
      <c r="B4" s="81" t="s">
        <v>61</v>
      </c>
      <c r="C4" s="18" t="s">
        <v>14</v>
      </c>
      <c r="D4" s="84">
        <f ca="1">DATE(YEAR('Set-up'!$B$10)-2,MONTH('Set-up'!$B$10)+1,0)</f>
        <v>42063</v>
      </c>
      <c r="E4" s="85">
        <f ca="1">DATE(YEAR('Set-up'!$B$10)-2,MONTH('Set-up'!$B$10)+2,0)</f>
        <v>42094</v>
      </c>
      <c r="F4" s="85">
        <f ca="1">DATE(YEAR(E4),MONTH(E4)+2,0)</f>
        <v>42124</v>
      </c>
      <c r="G4" s="85">
        <f t="shared" ref="G4:P4" ca="1" si="1">DATE(YEAR(F4),MONTH(F4)+2,0)</f>
        <v>42155</v>
      </c>
      <c r="H4" s="85">
        <f t="shared" ca="1" si="1"/>
        <v>42185</v>
      </c>
      <c r="I4" s="85">
        <f t="shared" ca="1" si="1"/>
        <v>42216</v>
      </c>
      <c r="J4" s="85">
        <f t="shared" ca="1" si="1"/>
        <v>42247</v>
      </c>
      <c r="K4" s="85">
        <f t="shared" ca="1" si="1"/>
        <v>42277</v>
      </c>
      <c r="L4" s="85">
        <f t="shared" ca="1" si="1"/>
        <v>42308</v>
      </c>
      <c r="M4" s="85">
        <f t="shared" ca="1" si="1"/>
        <v>42338</v>
      </c>
      <c r="N4" s="85">
        <f t="shared" ca="1" si="1"/>
        <v>42369</v>
      </c>
      <c r="O4" s="85">
        <f t="shared" ca="1" si="1"/>
        <v>42400</v>
      </c>
      <c r="P4" s="85">
        <f t="shared" ca="1" si="1"/>
        <v>42429</v>
      </c>
      <c r="Q4" s="20"/>
      <c r="R4" s="20"/>
      <c r="S4" s="20"/>
    </row>
    <row r="5" spans="1:19" ht="15" customHeight="1" x14ac:dyDescent="0.3">
      <c r="A5" s="87" t="str">
        <f ca="1">IF(ISNA(VLOOKUP($B5,KeyAll,COLUMN(Key!$C$4),0))=TRUE,"no key!",VLOOKUP($B5,KeyAll,COLUMN(Key!$C$4),0))</f>
        <v>B-PPE</v>
      </c>
      <c r="B5" s="9" t="s">
        <v>78</v>
      </c>
      <c r="C5" s="87" t="str">
        <f ca="1">IF(ISNA(VLOOKUP($B5,KeyAll,COLUMN(Key!$B$4),0))=TRUE,"no key!",VLOOKUP($B5,KeyAll,COLUMN(Key!$B$4),0))</f>
        <v>Property, Plant &amp; Equipment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</row>
    <row r="6" spans="1:19" ht="15" customHeight="1" x14ac:dyDescent="0.3">
      <c r="A6" s="87" t="str">
        <f ca="1">IF(ISNA(VLOOKUP($B6,KeyAll,COLUMN(Key!$C$4),0))=TRUE,"no key!",VLOOKUP($B6,KeyAll,COLUMN(Key!$C$4),0))</f>
        <v>B-PPE</v>
      </c>
      <c r="B6" s="9" t="s">
        <v>79</v>
      </c>
      <c r="C6" s="87" t="str">
        <f ca="1">IF(ISNA(VLOOKUP($B6,KeyAll,COLUMN(Key!$B$4),0))=TRUE,"no key!",VLOOKUP($B6,KeyAll,COLUMN(Key!$B$4),0))</f>
        <v>Accumulated Depreciation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9" ht="15" customHeight="1" x14ac:dyDescent="0.3">
      <c r="A7" s="87" t="str">
        <f ca="1">IF(ISNA(VLOOKUP($B7,KeyAll,COLUMN(Key!$C$4),0))=TRUE,"no key!",VLOOKUP($B7,KeyAll,COLUMN(Key!$C$4),0))</f>
        <v>B-VEST</v>
      </c>
      <c r="B7" s="9" t="s">
        <v>80</v>
      </c>
      <c r="C7" s="87" t="str">
        <f ca="1">IF(ISNA(VLOOKUP($B7,KeyAll,COLUMN(Key!$B$4),0))=TRUE,"no key!",VLOOKUP($B7,KeyAll,COLUMN(Key!$B$4),0))</f>
        <v>Investments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  <row r="8" spans="1:19" ht="15" customHeight="1" x14ac:dyDescent="0.3">
      <c r="A8" s="87" t="str">
        <f ca="1">IF(ISNA(VLOOKUP($B8,KeyAll,COLUMN(Key!$C$4),0))=TRUE,"no key!",VLOOKUP($B8,KeyAll,COLUMN(Key!$C$4),0))</f>
        <v>B-CASH</v>
      </c>
      <c r="B8" s="9" t="s">
        <v>89</v>
      </c>
      <c r="C8" s="87" t="str">
        <f ca="1">IF(ISNA(VLOOKUP($B8,KeyAll,COLUMN(Key!$B$4),0))=TRUE,"no key!",VLOOKUP($B8,KeyAll,COLUMN(Key!$B$4),0))</f>
        <v>Cash - Other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</row>
    <row r="9" spans="1:19" ht="15" customHeight="1" x14ac:dyDescent="0.3">
      <c r="A9" s="87" t="str">
        <f ca="1">IF(ISNA(VLOOKUP($B9,KeyAll,COLUMN(Key!$C$4),0))=TRUE,"no key!",VLOOKUP($B9,KeyAll,COLUMN(Key!$C$4),0))</f>
        <v>B-BANK</v>
      </c>
      <c r="B9" s="9" t="s">
        <v>148</v>
      </c>
      <c r="C9" s="87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9" ht="15" customHeight="1" x14ac:dyDescent="0.3">
      <c r="A10" s="87" t="str">
        <f ca="1">IF(ISNA(VLOOKUP($B10,KeyAll,COLUMN(Key!$C$4),0))=TRUE,"no key!",VLOOKUP($B10,KeyAll,COLUMN(Key!$C$4),0))</f>
        <v>B-DEBT</v>
      </c>
      <c r="B10" s="9" t="s">
        <v>149</v>
      </c>
      <c r="C10" s="87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9" ht="15" customHeight="1" x14ac:dyDescent="0.3">
      <c r="A11" s="87" t="str">
        <f ca="1">IF(ISNA(VLOOKUP($B11,KeyAll,COLUMN(Key!$C$4),0))=TRUE,"no key!",VLOOKUP($B11,KeyAll,COLUMN(Key!$C$4),0))</f>
        <v>B-CREDT</v>
      </c>
      <c r="B11" s="9" t="s">
        <v>75</v>
      </c>
      <c r="C11" s="87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9" ht="15" customHeight="1" x14ac:dyDescent="0.3">
      <c r="A12" s="87" t="str">
        <f ca="1">IF(ISNA(VLOOKUP($B12,KeyAll,COLUMN(Key!$C$4),0))=TRUE,"no key!",VLOOKUP($B12,KeyAll,COLUMN(Key!$C$4),0))</f>
        <v>B-INT</v>
      </c>
      <c r="B12" s="9" t="s">
        <v>263</v>
      </c>
      <c r="C12" s="87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9" ht="15" customHeight="1" x14ac:dyDescent="0.3">
      <c r="A13" s="87" t="str">
        <f ca="1">IF(ISNA(VLOOKUP($B13,KeyAll,COLUMN(Key!$C$4),0))=TRUE,"no key!",VLOOKUP($B13,KeyAll,COLUMN(Key!$C$4),0))</f>
        <v>B-DIV</v>
      </c>
      <c r="B13" s="9" t="s">
        <v>264</v>
      </c>
      <c r="C13" s="87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9" ht="15" customHeight="1" x14ac:dyDescent="0.3">
      <c r="A14" s="87" t="str">
        <f ca="1">IF(ISNA(VLOOKUP($B14,KeyAll,COLUMN(Key!$C$4),0))=TRUE,"no key!",VLOOKUP($B14,KeyAll,COLUMN(Key!$C$4),0))</f>
        <v>B-TAX</v>
      </c>
      <c r="B14" s="9" t="s">
        <v>265</v>
      </c>
      <c r="C14" s="87" t="str">
        <f ca="1">IF(ISNA(VLOOKUP($B14,KeyAll,COLUMN(Key!$B$4),0))=TRUE,"no key!",VLOOKUP($B14,KeyAll,COLUMN(Key!$B$4),0))</f>
        <v>Provision for Taxation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9" ht="15" customHeight="1" x14ac:dyDescent="0.3">
      <c r="A15" s="87" t="str">
        <f ca="1">IF(ISNA(VLOOKUP($B15,KeyAll,COLUMN(Key!$C$4),0))=TRUE,"no key!",VLOOKUP($B15,KeyAll,COLUMN(Key!$C$4),0))</f>
        <v>B-PROV</v>
      </c>
      <c r="B15" s="9" t="s">
        <v>269</v>
      </c>
      <c r="C15" s="87" t="str">
        <f ca="1">IF(ISNA(VLOOKUP($B15,KeyAll,COLUMN(Key!$B$4),0))=TRUE,"no key!",VLOOKUP($B15,KeyAll,COLUMN(Key!$B$4),0))</f>
        <v>Provisions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</row>
    <row r="16" spans="1:19" ht="15" customHeight="1" x14ac:dyDescent="0.3">
      <c r="A16" s="87" t="str">
        <f ca="1">IF(ISNA(VLOOKUP($B16,KeyAll,COLUMN(Key!$C$4),0))=TRUE,"no key!",VLOOKUP($B16,KeyAll,COLUMN(Key!$C$4),0))</f>
        <v>B-CREDT</v>
      </c>
      <c r="B16" s="9" t="s">
        <v>77</v>
      </c>
      <c r="C16" s="87" t="str">
        <f ca="1">IF(ISNA(VLOOKUP($B16,KeyAll,COLUMN(Key!$B$4),0))=TRUE,"no key!",VLOOKUP($B16,KeyAll,COLUMN(Key!$B$4),0))</f>
        <v>Sales Tax Control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ht="15" customHeight="1" x14ac:dyDescent="0.3">
      <c r="A17" s="87" t="str">
        <f ca="1">IF(ISNA(VLOOKUP($B17,KeyAll,COLUMN(Key!$C$4),0))=TRUE,"no key!",VLOOKUP($B17,KeyAll,COLUMN(Key!$C$4),0))</f>
        <v>B-LOAN</v>
      </c>
      <c r="B17" s="9" t="s">
        <v>87</v>
      </c>
      <c r="C17" s="87" t="str">
        <f ca="1">IF(ISNA(VLOOKUP($B17,KeyAll,COLUMN(Key!$B$4),0))=TRUE,"no key!",VLOOKUP($B17,KeyAll,COLUMN(Key!$B$4),0))</f>
        <v>Long Term Liabilities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ht="15" customHeight="1" x14ac:dyDescent="0.3">
      <c r="A18" s="87" t="str">
        <f ca="1">IF(ISNA(VLOOKUP($B18,KeyAll,COLUMN(Key!$C$4),0))=TRUE,"no key!",VLOOKUP($B18,KeyAll,COLUMN(Key!$C$4),0))</f>
        <v>B-SCAP</v>
      </c>
      <c r="B18" s="9" t="s">
        <v>82</v>
      </c>
      <c r="C18" s="87" t="str">
        <f ca="1">IF(ISNA(VLOOKUP($B18,KeyAll,COLUMN(Key!$B$4),0))=TRUE,"no key!",VLOOKUP($B18,KeyAll,COLUMN(Key!$B$4),0))</f>
        <v>Share Capital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</row>
    <row r="19" spans="1:16" ht="15" customHeight="1" x14ac:dyDescent="0.3">
      <c r="A19" s="87" t="str">
        <f ca="1">IF(ISNA(VLOOKUP($B19,KeyAll,COLUMN(Key!$C$4),0))=TRUE,"no key!",VLOOKUP($B19,KeyAll,COLUMN(Key!$C$4),0))</f>
        <v>B-RET</v>
      </c>
      <c r="B19" s="9" t="s">
        <v>81</v>
      </c>
      <c r="C19" s="87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ht="15" customHeight="1" x14ac:dyDescent="0.3">
      <c r="A20" s="87" t="str">
        <f ca="1">IF(ISNA(VLOOKUP($B20,KeyAll,COLUMN(Key!$C$4),0))=TRUE,"no key!",VLOOKUP($B20,KeyAll,COLUMN(Key!$C$4),0))</f>
        <v>I-REVS</v>
      </c>
      <c r="B20" s="9" t="s">
        <v>59</v>
      </c>
      <c r="C20" s="87" t="str">
        <f ca="1">IF(ISNA(VLOOKUP($B20,KeyAll,COLUMN(Key!$B$4),0))=TRUE,"no key!",VLOOKUP($B20,KeyAll,COLUMN(Key!$B$4),0))</f>
        <v>Turnover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1:16" ht="15" customHeight="1" x14ac:dyDescent="0.3">
      <c r="A21" s="87" t="str">
        <f ca="1">IF(ISNA(VLOOKUP($B21,KeyAll,COLUMN(Key!$C$4),0))=TRUE,"no key!",VLOOKUP($B21,KeyAll,COLUMN(Key!$C$4),0))</f>
        <v>I-COS</v>
      </c>
      <c r="B21" s="9" t="s">
        <v>60</v>
      </c>
      <c r="C21" s="87" t="str">
        <f ca="1">IF(ISNA(VLOOKUP($B21,KeyAll,COLUMN(Key!$B$4),0))=TRUE,"no key!",VLOOKUP($B21,KeyAll,COLUMN(Key!$B$4),0))</f>
        <v>Stock Purchases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</row>
    <row r="22" spans="1:16" ht="15" customHeight="1" x14ac:dyDescent="0.3">
      <c r="A22" s="87" t="str">
        <f ca="1">IF(ISNA(VLOOKUP($B22,KeyAll,COLUMN(Key!$C$4),0))=TRUE,"no key!",VLOOKUP($B22,KeyAll,COLUMN(Key!$C$4),0))</f>
        <v>I-ADM01</v>
      </c>
      <c r="B22" s="9" t="s">
        <v>63</v>
      </c>
      <c r="C22" s="87" t="str">
        <f ca="1">IF(ISNA(VLOOKUP($B22,KeyAll,COLUMN(Key!$B$4),0))=TRUE,"no key!",VLOOKUP($B22,KeyAll,COLUMN(Key!$B$4),0))</f>
        <v>Accounting Fees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ht="15" customHeight="1" x14ac:dyDescent="0.3">
      <c r="A23" s="87" t="str">
        <f ca="1">IF(ISNA(VLOOKUP($B23,KeyAll,COLUMN(Key!$C$4),0))=TRUE,"no key!",VLOOKUP($B23,KeyAll,COLUMN(Key!$C$4),0))</f>
        <v>I-ADV01</v>
      </c>
      <c r="B23" s="9" t="s">
        <v>64</v>
      </c>
      <c r="C23" s="87" t="str">
        <f ca="1">IF(ISNA(VLOOKUP($B23,KeyAll,COLUMN(Key!$B$4),0))=TRUE,"no key!",VLOOKUP($B23,KeyAll,COLUMN(Key!$B$4),0))</f>
        <v>Advertising &amp; Marketing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</row>
    <row r="24" spans="1:16" ht="15" customHeight="1" x14ac:dyDescent="0.3">
      <c r="A24" s="87" t="str">
        <f ca="1">IF(ISNA(VLOOKUP($B24,KeyAll,COLUMN(Key!$C$4),0))=TRUE,"no key!",VLOOKUP($B24,KeyAll,COLUMN(Key!$C$4),0))</f>
        <v>I-ADM02</v>
      </c>
      <c r="B24" s="9" t="s">
        <v>65</v>
      </c>
      <c r="C24" s="87" t="str">
        <f ca="1">IF(ISNA(VLOOKUP($B24,KeyAll,COLUMN(Key!$B$4),0))=TRUE,"no key!",VLOOKUP($B24,KeyAll,COLUMN(Key!$B$4),0))</f>
        <v>Bank Charges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</row>
    <row r="25" spans="1:16" ht="15" customHeight="1" x14ac:dyDescent="0.3">
      <c r="A25" s="87" t="str">
        <f ca="1">IF(ISNA(VLOOKUP($B25,KeyAll,COLUMN(Key!$C$4),0))=TRUE,"no key!",VLOOKUP($B25,KeyAll,COLUMN(Key!$C$4),0))</f>
        <v>I-ADM03</v>
      </c>
      <c r="B25" s="9" t="s">
        <v>150</v>
      </c>
      <c r="C25" s="87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ht="15" customHeight="1" x14ac:dyDescent="0.3">
      <c r="A26" s="87" t="str">
        <f ca="1">IF(ISNA(VLOOKUP($B26,KeyAll,COLUMN(Key!$C$4),0))=TRUE,"no key!",VLOOKUP($B26,KeyAll,COLUMN(Key!$C$4),0))</f>
        <v>I-ADM04</v>
      </c>
      <c r="B26" s="9" t="s">
        <v>151</v>
      </c>
      <c r="C26" s="87" t="str">
        <f ca="1">IF(ISNA(VLOOKUP($B26,KeyAll,COLUMN(Key!$B$4),0))=TRUE,"no key!",VLOOKUP($B26,KeyAll,COLUMN(Key!$B$4),0))</f>
        <v>Computer Expenses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ht="15" customHeight="1" x14ac:dyDescent="0.3">
      <c r="A27" s="87" t="str">
        <f ca="1">IF(ISNA(VLOOKUP($B27,KeyAll,COLUMN(Key!$C$4),0))=TRUE,"no key!",VLOOKUP($B27,KeyAll,COLUMN(Key!$C$4),0))</f>
        <v>I-ADM05</v>
      </c>
      <c r="B27" s="9" t="s">
        <v>152</v>
      </c>
      <c r="C27" s="87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ht="15" customHeight="1" x14ac:dyDescent="0.3">
      <c r="A28" s="87" t="str">
        <f ca="1">IF(ISNA(VLOOKUP($B28,KeyAll,COLUMN(Key!$C$4),0))=TRUE,"no key!",VLOOKUP($B28,KeyAll,COLUMN(Key!$C$4),0))</f>
        <v>I-ADM07</v>
      </c>
      <c r="B28" s="9" t="s">
        <v>153</v>
      </c>
      <c r="C28" s="87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  <row r="29" spans="1:16" ht="15" customHeight="1" x14ac:dyDescent="0.3">
      <c r="A29" s="87" t="str">
        <f ca="1">IF(ISNA(VLOOKUP($B29,KeyAll,COLUMN(Key!$C$4),0))=TRUE,"no key!",VLOOKUP($B29,KeyAll,COLUMN(Key!$C$4),0))</f>
        <v>I-ADM08</v>
      </c>
      <c r="B29" s="9" t="s">
        <v>154</v>
      </c>
      <c r="C29" s="87" t="str">
        <f ca="1">IF(ISNA(VLOOKUP($B29,KeyAll,COLUMN(Key!$B$4),0))=TRUE,"no key!",VLOOKUP($B29,KeyAll,COLUMN(Key!$B$4),0))</f>
        <v>Insurance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</row>
    <row r="30" spans="1:16" ht="15" customHeight="1" x14ac:dyDescent="0.3">
      <c r="A30" s="87" t="str">
        <f ca="1">IF(ISNA(VLOOKUP($B30,KeyAll,COLUMN(Key!$C$4),0))=TRUE,"no key!",VLOOKUP($B30,KeyAll,COLUMN(Key!$C$4),0))</f>
        <v>I-ADM09</v>
      </c>
      <c r="B30" s="9" t="s">
        <v>155</v>
      </c>
      <c r="C30" s="87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ht="15" customHeight="1" x14ac:dyDescent="0.3">
      <c r="A31" s="87" t="str">
        <f ca="1">IF(ISNA(VLOOKUP($B31,KeyAll,COLUMN(Key!$C$4),0))=TRUE,"no key!",VLOOKUP($B31,KeyAll,COLUMN(Key!$C$4),0))</f>
        <v>I-ADM10</v>
      </c>
      <c r="B31" s="9" t="s">
        <v>156</v>
      </c>
      <c r="C31" s="87" t="str">
        <f ca="1">IF(ISNA(VLOOKUP($B31,KeyAll,COLUMN(Key!$B$4),0))=TRUE,"no key!",VLOOKUP($B31,KeyAll,COLUMN(Key!$B$4),0))</f>
        <v>Office Rent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</row>
    <row r="32" spans="1:16" ht="15" customHeight="1" x14ac:dyDescent="0.3">
      <c r="A32" s="87" t="str">
        <f ca="1">IF(ISNA(VLOOKUP($B32,KeyAll,COLUMN(Key!$C$4),0))=TRUE,"no key!",VLOOKUP($B32,KeyAll,COLUMN(Key!$C$4),0))</f>
        <v>I-ADM11</v>
      </c>
      <c r="B32" s="9" t="s">
        <v>157</v>
      </c>
      <c r="C32" s="87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</row>
    <row r="33" spans="1:16" ht="15" customHeight="1" x14ac:dyDescent="0.3">
      <c r="A33" s="87" t="str">
        <f ca="1">IF(ISNA(VLOOKUP($B33,KeyAll,COLUMN(Key!$C$4),0))=TRUE,"no key!",VLOOKUP($B33,KeyAll,COLUMN(Key!$C$4),0))</f>
        <v>I-ADM12</v>
      </c>
      <c r="B33" s="9" t="s">
        <v>158</v>
      </c>
      <c r="C33" s="87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</row>
    <row r="34" spans="1:16" ht="15" customHeight="1" x14ac:dyDescent="0.3">
      <c r="A34" s="87" t="str">
        <f ca="1">IF(ISNA(VLOOKUP($B34,KeyAll,COLUMN(Key!$C$4),0))=TRUE,"no key!",VLOOKUP($B34,KeyAll,COLUMN(Key!$C$4),0))</f>
        <v>I-ADM13</v>
      </c>
      <c r="B34" s="9" t="s">
        <v>159</v>
      </c>
      <c r="C34" s="87" t="str">
        <f ca="1">IF(ISNA(VLOOKUP($B34,KeyAll,COLUMN(Key!$B$4),0))=TRUE,"no key!",VLOOKUP($B34,KeyAll,COLUMN(Key!$B$4),0))</f>
        <v>Salaries &amp; Wages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ht="15" customHeight="1" x14ac:dyDescent="0.3">
      <c r="A35" s="87" t="str">
        <f ca="1">IF(ISNA(VLOOKUP($B35,KeyAll,COLUMN(Key!$C$4),0))=TRUE,"no key!",VLOOKUP($B35,KeyAll,COLUMN(Key!$C$4),0))</f>
        <v>I-ADM14</v>
      </c>
      <c r="B35" s="9" t="s">
        <v>160</v>
      </c>
      <c r="C35" s="87" t="str">
        <f ca="1">IF(ISNA(VLOOKUP($B35,KeyAll,COLUMN(Key!$B$4),0))=TRUE,"no key!",VLOOKUP($B35,KeyAll,COLUMN(Key!$B$4),0))</f>
        <v>Stationery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</row>
    <row r="36" spans="1:16" ht="15" customHeight="1" x14ac:dyDescent="0.3">
      <c r="A36" s="87" t="str">
        <f ca="1">IF(ISNA(VLOOKUP($B36,KeyAll,COLUMN(Key!$C$4),0))=TRUE,"no key!",VLOOKUP($B36,KeyAll,COLUMN(Key!$C$4),0))</f>
        <v>I-ADM15</v>
      </c>
      <c r="B36" s="9" t="s">
        <v>161</v>
      </c>
      <c r="C36" s="87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</row>
    <row r="37" spans="1:16" ht="15" customHeight="1" x14ac:dyDescent="0.3">
      <c r="A37" s="87" t="str">
        <f ca="1">IF(ISNA(VLOOKUP($B37,KeyAll,COLUMN(Key!$C$4),0))=TRUE,"no key!",VLOOKUP($B37,KeyAll,COLUMN(Key!$C$4),0))</f>
        <v>I-ADM16</v>
      </c>
      <c r="B37" s="9" t="s">
        <v>162</v>
      </c>
      <c r="C37" s="87" t="str">
        <f ca="1">IF(ISNA(VLOOKUP($B37,KeyAll,COLUMN(Key!$B$4),0))=TRUE,"no key!",VLOOKUP($B37,KeyAll,COLUMN(Key!$B$4),0))</f>
        <v>Telephone &amp; Internet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 ht="15" customHeight="1" x14ac:dyDescent="0.3">
      <c r="A38" s="87" t="str">
        <f ca="1">IF(ISNA(VLOOKUP($B38,KeyAll,COLUMN(Key!$C$4),0))=TRUE,"no key!",VLOOKUP($B38,KeyAll,COLUMN(Key!$C$4),0))</f>
        <v>I-ADM17</v>
      </c>
      <c r="B38" s="9" t="s">
        <v>163</v>
      </c>
      <c r="C38" s="87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</row>
    <row r="39" spans="1:16" ht="15" customHeight="1" x14ac:dyDescent="0.3">
      <c r="A39" s="87" t="str">
        <f ca="1">IF(ISNA(VLOOKUP($B39,KeyAll,COLUMN(Key!$C$4),0))=TRUE,"no key!",VLOOKUP($B39,KeyAll,COLUMN(Key!$C$4),0))</f>
        <v>I-ADM18</v>
      </c>
      <c r="B39" s="9" t="s">
        <v>164</v>
      </c>
      <c r="C39" s="87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</row>
    <row r="40" spans="1:16" ht="15" customHeight="1" x14ac:dyDescent="0.3">
      <c r="A40" s="87" t="str">
        <f ca="1">IF(ISNA(VLOOKUP($B40,KeyAll,COLUMN(Key!$C$4),0))=TRUE,"no key!",VLOOKUP($B40,KeyAll,COLUMN(Key!$C$4),0))</f>
        <v>I-ADM19</v>
      </c>
      <c r="B40" s="9" t="s">
        <v>165</v>
      </c>
      <c r="C40" s="87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</row>
    <row r="41" spans="1:16" ht="15" customHeight="1" x14ac:dyDescent="0.3">
      <c r="A41" s="87" t="str">
        <f ca="1">IF(ISNA(VLOOKUP($B41,KeyAll,COLUMN(Key!$C$4),0))=TRUE,"no key!",VLOOKUP($B41,KeyAll,COLUMN(Key!$C$4),0))</f>
        <v>I-ADM06</v>
      </c>
      <c r="B41" s="9" t="s">
        <v>166</v>
      </c>
      <c r="C41" s="87" t="str">
        <f ca="1">IF(ISNA(VLOOKUP($B41,KeyAll,COLUMN(Key!$B$4),0))=TRUE,"no key!",VLOOKUP($B41,KeyAll,COLUMN(Key!$B$4),0))</f>
        <v>Depreciation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</row>
    <row r="42" spans="1:16" ht="15" customHeight="1" x14ac:dyDescent="0.3">
      <c r="A42" s="87" t="str">
        <f ca="1">IF(ISNA(VLOOKUP($B42,KeyAll,COLUMN(Key!$C$4),0))=TRUE,"no key!",VLOOKUP($B42,KeyAll,COLUMN(Key!$C$4),0))</f>
        <v>I-FIN</v>
      </c>
      <c r="B42" s="9" t="s">
        <v>167</v>
      </c>
      <c r="C42" s="87" t="str">
        <f ca="1">IF(ISNA(VLOOKUP($B42,KeyAll,COLUMN(Key!$B$4),0))=TRUE,"no key!",VLOOKUP($B42,KeyAll,COLUMN(Key!$B$4),0))</f>
        <v>Interest Paid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ht="15" customHeight="1" x14ac:dyDescent="0.3">
      <c r="A43" s="87" t="str">
        <f ca="1">IF(ISNA(VLOOKUP($B43,KeyAll,COLUMN(Key!$C$4),0))=TRUE,"no key!",VLOOKUP($B43,KeyAll,COLUMN(Key!$C$4),0))</f>
        <v>I-TAX</v>
      </c>
      <c r="B43" s="9" t="s">
        <v>67</v>
      </c>
      <c r="C43" s="87" t="str">
        <f ca="1">IF(ISNA(VLOOKUP($B43,KeyAll,COLUMN(Key!$B$4),0))=TRUE,"no key!",VLOOKUP($B43,KeyAll,COLUMN(Key!$B$4),0))</f>
        <v>Taxation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ht="15" customHeight="1" x14ac:dyDescent="0.3">
      <c r="A44" s="87" t="str">
        <f ca="1">IF(ISNA(VLOOKUP($B44,KeyAll,COLUMN(Key!$C$4),0))=TRUE,"no key!",VLOOKUP($B44,KeyAll,COLUMN(Key!$C$4),0))</f>
        <v>I-DIV</v>
      </c>
      <c r="B44" s="9" t="s">
        <v>68</v>
      </c>
      <c r="C44" s="87" t="str">
        <f ca="1">IF(ISNA(VLOOKUP($B44,KeyAll,COLUMN(Key!$B$4),0))=TRUE,"no key!",VLOOKUP($B44,KeyAll,COLUMN(Key!$B$4),0))</f>
        <v>Dividends Paid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ht="15" customHeight="1" x14ac:dyDescent="0.3">
      <c r="A45" s="87" t="str">
        <f ca="1">IF(ISNA(VLOOKUP($B45,KeyAll,COLUMN(Key!$C$4),0))=TRUE,"no key!",VLOOKUP($B45,KeyAll,COLUMN(Key!$C$4),0))</f>
        <v>I-OTX01</v>
      </c>
      <c r="B45" s="9" t="s">
        <v>66</v>
      </c>
      <c r="C45" s="87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</row>
    <row r="46" spans="1:16" ht="15" customHeight="1" x14ac:dyDescent="0.3">
      <c r="A46" s="87" t="str">
        <f ca="1">IF(ISNA(VLOOKUP($B46,KeyAll,COLUMN(Key!$C$4),0))=TRUE,"no key!",VLOOKUP($B46,KeyAll,COLUMN(Key!$C$4),0))</f>
        <v>I-REVO</v>
      </c>
      <c r="B46" s="9" t="s">
        <v>168</v>
      </c>
      <c r="C46" s="87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</row>
    <row r="47" spans="1:16" ht="15" customHeight="1" x14ac:dyDescent="0.3">
      <c r="A47" s="87" t="str">
        <f ca="1">IF(ISNA(VLOOKUP($B47,KeyAll,COLUMN(Key!$C$4),0))=TRUE,"no key!",VLOOKUP($B47,KeyAll,COLUMN(Key!$C$4),0))</f>
        <v>I-REVO02</v>
      </c>
      <c r="B47" s="9" t="s">
        <v>256</v>
      </c>
      <c r="C47" s="87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</row>
    <row r="48" spans="1:16" ht="15" customHeight="1" x14ac:dyDescent="0.3">
      <c r="A48" s="87" t="str">
        <f ca="1">IF(ISNA(VLOOKUP($B48,KeyAll,COLUMN(Key!$C$4),0))=TRUE,"no key!",VLOOKUP($B48,KeyAll,COLUMN(Key!$C$4),0))</f>
        <v>I-REVO03</v>
      </c>
      <c r="B48" s="9" t="s">
        <v>260</v>
      </c>
      <c r="C48" s="87" t="str">
        <f ca="1">IF(ISNA(VLOOKUP($B48,KeyAll,COLUMN(Key!$B$4),0))=TRUE,"no key!",VLOOKUP($B48,KeyAll,COLUMN(Key!$B$4),0))</f>
        <v>Interest Received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</row>
    <row r="49" spans="1:16" ht="15" customHeight="1" x14ac:dyDescent="0.3">
      <c r="A49" s="87" t="str">
        <f ca="1">IF(ISNA(VLOOKUP($B49,KeyAll,COLUMN(Key!$C$4),0))=TRUE,"no key!",VLOOKUP($B49,KeyAll,COLUMN(Key!$C$4),0))</f>
        <v>I-REVO04</v>
      </c>
      <c r="B49" s="9" t="s">
        <v>272</v>
      </c>
      <c r="C49" s="87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</row>
    <row r="50" spans="1:16" ht="15" customHeight="1" x14ac:dyDescent="0.3">
      <c r="A50" s="87" t="str">
        <f ca="1">IF(ISNA(VLOOKUP($B50,KeyAll,COLUMN(Key!$C$4),0))=TRUE,"no key!",VLOOKUP($B50,KeyAll,COLUMN(Key!$C$4),0))</f>
        <v>B-BANK</v>
      </c>
      <c r="B50" s="9" t="s">
        <v>198</v>
      </c>
      <c r="C50" s="87" t="str">
        <f ca="1">IF(ISNA(VLOOKUP($B50,KeyAll,COLUMN(Key!$B$4),0))=TRUE,"no key!",VLOOKUP($B50,KeyAll,COLUMN(Key!$B$4),0))</f>
        <v>B1 Bank Account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</row>
    <row r="51" spans="1:16" ht="15" customHeight="1" x14ac:dyDescent="0.3">
      <c r="A51" s="87" t="str">
        <f ca="1">IF(ISNA(VLOOKUP($B51,KeyAll,COLUMN(Key!$C$4),0))=TRUE,"no key!",VLOOKUP($B51,KeyAll,COLUMN(Key!$C$4),0))</f>
        <v>B-BANK</v>
      </c>
      <c r="B51" s="9" t="s">
        <v>200</v>
      </c>
      <c r="C51" s="87" t="str">
        <f ca="1">IF(ISNA(VLOOKUP($B51,KeyAll,COLUMN(Key!$B$4),0))=TRUE,"no key!",VLOOKUP($B51,KeyAll,COLUMN(Key!$B$4),0))</f>
        <v>B2 Bank Account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</row>
    <row r="52" spans="1:16" ht="15" customHeight="1" x14ac:dyDescent="0.3">
      <c r="A52" s="87" t="str">
        <f ca="1">IF(ISNA(VLOOKUP($B52,KeyAll,COLUMN(Key!$C$4),0))=TRUE,"no key!",VLOOKUP($B52,KeyAll,COLUMN(Key!$C$4),0))</f>
        <v>B-BANK</v>
      </c>
      <c r="B52" s="9" t="s">
        <v>202</v>
      </c>
      <c r="C52" s="87" t="str">
        <f ca="1">IF(ISNA(VLOOKUP($B52,KeyAll,COLUMN(Key!$B$4),0))=TRUE,"no key!",VLOOKUP($B52,KeyAll,COLUMN(Key!$B$4),0))</f>
        <v>B3 Bank Account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</row>
    <row r="53" spans="1:16" ht="15" customHeight="1" x14ac:dyDescent="0.3">
      <c r="A53" s="87" t="str">
        <f ca="1">IF(ISNA(VLOOKUP($B53,KeyAll,COLUMN(Key!$C$4),0))=TRUE,"no key!",VLOOKUP($B53,KeyAll,COLUMN(Key!$C$4),0))</f>
        <v>B-CASH</v>
      </c>
      <c r="B53" s="9" t="s">
        <v>204</v>
      </c>
      <c r="C53" s="87" t="str">
        <f ca="1">IF(ISNA(VLOOKUP($B53,KeyAll,COLUMN(Key!$B$4),0))=TRUE,"no key!",VLOOKUP($B53,KeyAll,COLUMN(Key!$B$4),0))</f>
        <v>Petty Cash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</row>
    <row r="54" spans="1:16" ht="15" customHeight="1" x14ac:dyDescent="0.3">
      <c r="A54" s="87" t="str">
        <f ca="1">IF(ISNA(VLOOKUP($B54,KeyAll,COLUMN(Key!$C$4),0))=TRUE,"no key!",VLOOKUP($B54,KeyAll,COLUMN(Key!$C$4),0))</f>
        <v>B-DEBT</v>
      </c>
      <c r="B54" s="9" t="s">
        <v>205</v>
      </c>
      <c r="C54" s="87" t="str">
        <f ca="1">IF(ISNA(VLOOKUP($B54,KeyAll,COLUMN(Key!$B$4),0))=TRUE,"no key!",VLOOKUP($B54,KeyAll,COLUMN(Key!$B$4),0))</f>
        <v>Trade Debtors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</row>
    <row r="55" spans="1:16" ht="15" customHeight="1" x14ac:dyDescent="0.3">
      <c r="A55" s="87" t="str">
        <f ca="1">IF(ISNA(VLOOKUP($B55,KeyAll,COLUMN(Key!$C$4),0))=TRUE,"no key!",VLOOKUP($B55,KeyAll,COLUMN(Key!$C$4),0))</f>
        <v>B-CREDT</v>
      </c>
      <c r="B55" s="9" t="s">
        <v>206</v>
      </c>
      <c r="C55" s="87" t="str">
        <f ca="1">IF(ISNA(VLOOKUP($B55,KeyAll,COLUMN(Key!$B$4),0))=TRUE,"no key!",VLOOKUP($B55,KeyAll,COLUMN(Key!$B$4),0))</f>
        <v>Trade Creditors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</row>
    <row r="56" spans="1:16" ht="15" customHeight="1" x14ac:dyDescent="0.3">
      <c r="A56" s="87" t="str">
        <f ca="1">IF(ISNA(VLOOKUP($B56,KeyAll,COLUMN(Key!$C$4),0))=TRUE,"no key!",VLOOKUP($B56,KeyAll,COLUMN(Key!$C$4),0))</f>
        <v>B-INV</v>
      </c>
      <c r="B56" s="9" t="s">
        <v>207</v>
      </c>
      <c r="C56" s="87" t="str">
        <f ca="1">IF(ISNA(VLOOKUP($B56,KeyAll,COLUMN(Key!$B$4),0))=TRUE,"no key!",VLOOKUP($B56,KeyAll,COLUMN(Key!$B$4),0))</f>
        <v>Inventory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</row>
    <row r="57" spans="1:16" ht="15" customHeight="1" x14ac:dyDescent="0.3">
      <c r="A57" s="87" t="str">
        <f ca="1">IF(ISNA(VLOOKUP($B57,KeyAll,COLUMN(Key!$C$4),0))=TRUE,"no key!",VLOOKUP($B57,KeyAll,COLUMN(Key!$C$4),0))</f>
        <v>I-COS</v>
      </c>
      <c r="B57" s="9" t="s">
        <v>209</v>
      </c>
      <c r="C57" s="87" t="str">
        <f ca="1">IF(ISNA(VLOOKUP($B57,KeyAll,COLUMN(Key!$B$4),0))=TRUE,"no key!",VLOOKUP($B57,KeyAll,COLUMN(Key!$B$4),0))</f>
        <v>Inventory Movement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</row>
    <row r="58" spans="1:16" ht="15" customHeight="1" x14ac:dyDescent="0.3">
      <c r="A58" s="87" t="str">
        <f ca="1">IF(ISNA(VLOOKUP($B58,KeyAll,COLUMN(Key!$C$4),0))=TRUE,"no key!",VLOOKUP($B58,KeyAll,COLUMN(Key!$C$4),0))</f>
        <v>B-RET</v>
      </c>
      <c r="B58" s="9" t="s">
        <v>211</v>
      </c>
      <c r="C58" s="87" t="str">
        <f ca="1">IF(ISNA(VLOOKUP($B58,KeyAll,COLUMN(Key!$B$4),0))=TRUE,"no key!",VLOOKUP($B58,KeyAll,COLUMN(Key!$B$4),0))</f>
        <v>Retained Earnings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</row>
  </sheetData>
  <conditionalFormatting sqref="D3:P3">
    <cfRule type="expression" dxfId="12" priority="2" stopIfTrue="1">
      <formula>ROUND(D3,2)&lt;&gt;0</formula>
    </cfRule>
  </conditionalFormatting>
  <conditionalFormatting sqref="A4">
    <cfRule type="expression" dxfId="11" priority="1" stopIfTrue="1">
      <formula>COUNTIF(PYClass,"no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3" fitToHeight="0" orientation="landscape" r:id="rId1"/>
  <headerFooter>
    <oddFooter>&amp;C&amp;9Page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8"/>
  <sheetViews>
    <sheetView zoomScale="95" zoomScaleNormal="9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5" width="14.73046875" style="10" customWidth="1"/>
    <col min="16" max="18" width="15.73046875" style="10" customWidth="1"/>
    <col min="19" max="16384" width="9.1328125" style="3"/>
  </cols>
  <sheetData>
    <row r="1" spans="1:18" x14ac:dyDescent="0.4">
      <c r="A1" s="14" t="str">
        <f>'Set-up'!$B$4</f>
        <v>ABC Trading (Pty) Limited</v>
      </c>
    </row>
    <row r="2" spans="1:18" ht="15" customHeight="1" x14ac:dyDescent="0.35">
      <c r="A2" s="15" t="s">
        <v>250</v>
      </c>
    </row>
    <row r="3" spans="1:18" ht="15" customHeight="1" x14ac:dyDescent="0.3">
      <c r="A3" s="16" t="s">
        <v>128</v>
      </c>
      <c r="D3" s="10">
        <f t="shared" ref="D3:O3" ca="1" si="0">IF(TBRowCount=0,0,ROUND(SUBTOTAL(9,OFFSET(D$4,1,0,TBRowCount,1)),2))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</row>
    <row r="4" spans="1:18" s="21" customFormat="1" ht="18" customHeight="1" x14ac:dyDescent="0.35">
      <c r="A4" s="18" t="s">
        <v>13</v>
      </c>
      <c r="B4" s="81" t="s">
        <v>61</v>
      </c>
      <c r="C4" s="18" t="s">
        <v>14</v>
      </c>
      <c r="D4" s="85">
        <f ca="1">DATE(YEAR('Set-up'!$B$10)-1,MONTH('Set-up'!$B$10)+2,0)</f>
        <v>42460</v>
      </c>
      <c r="E4" s="85">
        <f ca="1">DATE(YEAR(D4),MONTH(D4)+2,0)</f>
        <v>42490</v>
      </c>
      <c r="F4" s="85">
        <f t="shared" ref="F4:O4" ca="1" si="1">DATE(YEAR(E4),MONTH(E4)+2,0)</f>
        <v>42521</v>
      </c>
      <c r="G4" s="85">
        <f t="shared" ca="1" si="1"/>
        <v>42551</v>
      </c>
      <c r="H4" s="85">
        <f t="shared" ca="1" si="1"/>
        <v>42582</v>
      </c>
      <c r="I4" s="85">
        <f t="shared" ca="1" si="1"/>
        <v>42613</v>
      </c>
      <c r="J4" s="85">
        <f t="shared" ca="1" si="1"/>
        <v>42643</v>
      </c>
      <c r="K4" s="85">
        <f t="shared" ca="1" si="1"/>
        <v>42674</v>
      </c>
      <c r="L4" s="85">
        <f t="shared" ca="1" si="1"/>
        <v>42704</v>
      </c>
      <c r="M4" s="85">
        <f t="shared" ca="1" si="1"/>
        <v>42735</v>
      </c>
      <c r="N4" s="85">
        <f t="shared" ca="1" si="1"/>
        <v>42766</v>
      </c>
      <c r="O4" s="85">
        <f t="shared" ca="1" si="1"/>
        <v>42794</v>
      </c>
      <c r="P4" s="20"/>
      <c r="Q4" s="20"/>
      <c r="R4" s="20"/>
    </row>
    <row r="5" spans="1:18" ht="15" customHeight="1" x14ac:dyDescent="0.3">
      <c r="A5" s="87" t="str">
        <f ca="1">IF(ISNA(VLOOKUP($B5,KeyAll,COLUMN(Key!$C$4),0))=TRUE,"no key!",VLOOKUP($B5,KeyAll,COLUMN(Key!$C$4),0))</f>
        <v>B-PPE</v>
      </c>
      <c r="B5" s="9" t="s">
        <v>78</v>
      </c>
      <c r="C5" s="87" t="str">
        <f ca="1">IF(ISNA(VLOOKUP($B5,KeyAll,COLUMN(Key!$B$4),0))=TRUE,"no key!",VLOOKUP($B5,KeyAll,COLUMN(Key!$B$4),0))</f>
        <v>Property, Plant &amp; Equipment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</row>
    <row r="6" spans="1:18" ht="15" customHeight="1" x14ac:dyDescent="0.3">
      <c r="A6" s="87" t="str">
        <f ca="1">IF(ISNA(VLOOKUP($B6,KeyAll,COLUMN(Key!$C$4),0))=TRUE,"no key!",VLOOKUP($B6,KeyAll,COLUMN(Key!$C$4),0))</f>
        <v>B-PPE</v>
      </c>
      <c r="B6" s="9" t="s">
        <v>79</v>
      </c>
      <c r="C6" s="87" t="str">
        <f ca="1">IF(ISNA(VLOOKUP($B6,KeyAll,COLUMN(Key!$B$4),0))=TRUE,"no key!",VLOOKUP($B6,KeyAll,COLUMN(Key!$B$4),0))</f>
        <v>Accumulated Depreciation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</row>
    <row r="7" spans="1:18" ht="15" customHeight="1" x14ac:dyDescent="0.3">
      <c r="A7" s="87" t="str">
        <f ca="1">IF(ISNA(VLOOKUP($B7,KeyAll,COLUMN(Key!$C$4),0))=TRUE,"no key!",VLOOKUP($B7,KeyAll,COLUMN(Key!$C$4),0))</f>
        <v>B-VEST</v>
      </c>
      <c r="B7" s="9" t="s">
        <v>80</v>
      </c>
      <c r="C7" s="87" t="str">
        <f ca="1">IF(ISNA(VLOOKUP($B7,KeyAll,COLUMN(Key!$B$4),0))=TRUE,"no key!",VLOOKUP($B7,KeyAll,COLUMN(Key!$B$4),0))</f>
        <v>Investments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8" ht="15" customHeight="1" x14ac:dyDescent="0.3">
      <c r="A8" s="87" t="str">
        <f ca="1">IF(ISNA(VLOOKUP($B8,KeyAll,COLUMN(Key!$C$4),0))=TRUE,"no key!",VLOOKUP($B8,KeyAll,COLUMN(Key!$C$4),0))</f>
        <v>B-CASH</v>
      </c>
      <c r="B8" s="9" t="s">
        <v>89</v>
      </c>
      <c r="C8" s="87" t="str">
        <f ca="1">IF(ISNA(VLOOKUP($B8,KeyAll,COLUMN(Key!$B$4),0))=TRUE,"no key!",VLOOKUP($B8,KeyAll,COLUMN(Key!$B$4),0))</f>
        <v>Cash - Other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8" ht="15" customHeight="1" x14ac:dyDescent="0.3">
      <c r="A9" s="87" t="str">
        <f ca="1">IF(ISNA(VLOOKUP($B9,KeyAll,COLUMN(Key!$C$4),0))=TRUE,"no key!",VLOOKUP($B9,KeyAll,COLUMN(Key!$C$4),0))</f>
        <v>B-BANK</v>
      </c>
      <c r="B9" s="9" t="s">
        <v>148</v>
      </c>
      <c r="C9" s="87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8" ht="15" customHeight="1" x14ac:dyDescent="0.3">
      <c r="A10" s="87" t="str">
        <f ca="1">IF(ISNA(VLOOKUP($B10,KeyAll,COLUMN(Key!$C$4),0))=TRUE,"no key!",VLOOKUP($B10,KeyAll,COLUMN(Key!$C$4),0))</f>
        <v>B-DEBT</v>
      </c>
      <c r="B10" s="9" t="s">
        <v>149</v>
      </c>
      <c r="C10" s="87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8" ht="15" customHeight="1" x14ac:dyDescent="0.3">
      <c r="A11" s="87" t="str">
        <f ca="1">IF(ISNA(VLOOKUP($B11,KeyAll,COLUMN(Key!$C$4),0))=TRUE,"no key!",VLOOKUP($B11,KeyAll,COLUMN(Key!$C$4),0))</f>
        <v>B-CREDT</v>
      </c>
      <c r="B11" s="9" t="s">
        <v>75</v>
      </c>
      <c r="C11" s="87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8" ht="15" customHeight="1" x14ac:dyDescent="0.3">
      <c r="A12" s="87" t="str">
        <f ca="1">IF(ISNA(VLOOKUP($B12,KeyAll,COLUMN(Key!$C$4),0))=TRUE,"no key!",VLOOKUP($B12,KeyAll,COLUMN(Key!$C$4),0))</f>
        <v>B-INT</v>
      </c>
      <c r="B12" s="9" t="s">
        <v>263</v>
      </c>
      <c r="C12" s="87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ht="15" customHeight="1" x14ac:dyDescent="0.3">
      <c r="A13" s="87" t="str">
        <f ca="1">IF(ISNA(VLOOKUP($B13,KeyAll,COLUMN(Key!$C$4),0))=TRUE,"no key!",VLOOKUP($B13,KeyAll,COLUMN(Key!$C$4),0))</f>
        <v>B-DIV</v>
      </c>
      <c r="B13" s="9" t="s">
        <v>264</v>
      </c>
      <c r="C13" s="87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1:18" ht="15" customHeight="1" x14ac:dyDescent="0.3">
      <c r="A14" s="87" t="str">
        <f ca="1">IF(ISNA(VLOOKUP($B14,KeyAll,COLUMN(Key!$C$4),0))=TRUE,"no key!",VLOOKUP($B14,KeyAll,COLUMN(Key!$C$4),0))</f>
        <v>B-TAX</v>
      </c>
      <c r="B14" s="9" t="s">
        <v>265</v>
      </c>
      <c r="C14" s="87" t="str">
        <f ca="1">IF(ISNA(VLOOKUP($B14,KeyAll,COLUMN(Key!$B$4),0))=TRUE,"no key!",VLOOKUP($B14,KeyAll,COLUMN(Key!$B$4),0))</f>
        <v>Provision for Taxation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8" ht="15" customHeight="1" x14ac:dyDescent="0.3">
      <c r="A15" s="87" t="str">
        <f ca="1">IF(ISNA(VLOOKUP($B15,KeyAll,COLUMN(Key!$C$4),0))=TRUE,"no key!",VLOOKUP($B15,KeyAll,COLUMN(Key!$C$4),0))</f>
        <v>B-PROV</v>
      </c>
      <c r="B15" s="9" t="s">
        <v>269</v>
      </c>
      <c r="C15" s="87" t="str">
        <f ca="1">IF(ISNA(VLOOKUP($B15,KeyAll,COLUMN(Key!$B$4),0))=TRUE,"no key!",VLOOKUP($B15,KeyAll,COLUMN(Key!$B$4),0))</f>
        <v>Provisions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1:18" ht="15" customHeight="1" x14ac:dyDescent="0.3">
      <c r="A16" s="87" t="str">
        <f ca="1">IF(ISNA(VLOOKUP($B16,KeyAll,COLUMN(Key!$C$4),0))=TRUE,"no key!",VLOOKUP($B16,KeyAll,COLUMN(Key!$C$4),0))</f>
        <v>B-CREDT</v>
      </c>
      <c r="B16" s="9" t="s">
        <v>77</v>
      </c>
      <c r="C16" s="87" t="str">
        <f ca="1">IF(ISNA(VLOOKUP($B16,KeyAll,COLUMN(Key!$B$4),0))=TRUE,"no key!",VLOOKUP($B16,KeyAll,COLUMN(Key!$B$4),0))</f>
        <v>Sales Tax Control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1:15" ht="15" customHeight="1" x14ac:dyDescent="0.3">
      <c r="A17" s="87" t="str">
        <f ca="1">IF(ISNA(VLOOKUP($B17,KeyAll,COLUMN(Key!$C$4),0))=TRUE,"no key!",VLOOKUP($B17,KeyAll,COLUMN(Key!$C$4),0))</f>
        <v>B-LOAN</v>
      </c>
      <c r="B17" s="9" t="s">
        <v>87</v>
      </c>
      <c r="C17" s="87" t="str">
        <f ca="1">IF(ISNA(VLOOKUP($B17,KeyAll,COLUMN(Key!$B$4),0))=TRUE,"no key!",VLOOKUP($B17,KeyAll,COLUMN(Key!$B$4),0))</f>
        <v>Long Term Liabilities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ht="15" customHeight="1" x14ac:dyDescent="0.3">
      <c r="A18" s="87" t="str">
        <f ca="1">IF(ISNA(VLOOKUP($B18,KeyAll,COLUMN(Key!$C$4),0))=TRUE,"no key!",VLOOKUP($B18,KeyAll,COLUMN(Key!$C$4),0))</f>
        <v>B-SCAP</v>
      </c>
      <c r="B18" s="9" t="s">
        <v>82</v>
      </c>
      <c r="C18" s="87" t="str">
        <f ca="1">IF(ISNA(VLOOKUP($B18,KeyAll,COLUMN(Key!$B$4),0))=TRUE,"no key!",VLOOKUP($B18,KeyAll,COLUMN(Key!$B$4),0))</f>
        <v>Share Capital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ht="15" customHeight="1" x14ac:dyDescent="0.3">
      <c r="A19" s="87" t="str">
        <f ca="1">IF(ISNA(VLOOKUP($B19,KeyAll,COLUMN(Key!$C$4),0))=TRUE,"no key!",VLOOKUP($B19,KeyAll,COLUMN(Key!$C$4),0))</f>
        <v>B-RET</v>
      </c>
      <c r="B19" s="9" t="s">
        <v>81</v>
      </c>
      <c r="C19" s="87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ht="15" customHeight="1" x14ac:dyDescent="0.3">
      <c r="A20" s="87" t="str">
        <f ca="1">IF(ISNA(VLOOKUP($B20,KeyAll,COLUMN(Key!$C$4),0))=TRUE,"no key!",VLOOKUP($B20,KeyAll,COLUMN(Key!$C$4),0))</f>
        <v>I-REVS</v>
      </c>
      <c r="B20" s="9" t="s">
        <v>59</v>
      </c>
      <c r="C20" s="87" t="str">
        <f ca="1">IF(ISNA(VLOOKUP($B20,KeyAll,COLUMN(Key!$B$4),0))=TRUE,"no key!",VLOOKUP($B20,KeyAll,COLUMN(Key!$B$4),0))</f>
        <v>Turnover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ht="15" customHeight="1" x14ac:dyDescent="0.3">
      <c r="A21" s="87" t="str">
        <f ca="1">IF(ISNA(VLOOKUP($B21,KeyAll,COLUMN(Key!$C$4),0))=TRUE,"no key!",VLOOKUP($B21,KeyAll,COLUMN(Key!$C$4),0))</f>
        <v>I-COS</v>
      </c>
      <c r="B21" s="9" t="s">
        <v>60</v>
      </c>
      <c r="C21" s="87" t="str">
        <f ca="1">IF(ISNA(VLOOKUP($B21,KeyAll,COLUMN(Key!$B$4),0))=TRUE,"no key!",VLOOKUP($B21,KeyAll,COLUMN(Key!$B$4),0))</f>
        <v>Stock Purchases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1:15" ht="15" customHeight="1" x14ac:dyDescent="0.3">
      <c r="A22" s="87" t="str">
        <f ca="1">IF(ISNA(VLOOKUP($B22,KeyAll,COLUMN(Key!$C$4),0))=TRUE,"no key!",VLOOKUP($B22,KeyAll,COLUMN(Key!$C$4),0))</f>
        <v>I-ADM01</v>
      </c>
      <c r="B22" s="9" t="s">
        <v>63</v>
      </c>
      <c r="C22" s="87" t="str">
        <f ca="1">IF(ISNA(VLOOKUP($B22,KeyAll,COLUMN(Key!$B$4),0))=TRUE,"no key!",VLOOKUP($B22,KeyAll,COLUMN(Key!$B$4),0))</f>
        <v>Accounting Fees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1:15" ht="15" customHeight="1" x14ac:dyDescent="0.3">
      <c r="A23" s="87" t="str">
        <f ca="1">IF(ISNA(VLOOKUP($B23,KeyAll,COLUMN(Key!$C$4),0))=TRUE,"no key!",VLOOKUP($B23,KeyAll,COLUMN(Key!$C$4),0))</f>
        <v>I-ADV01</v>
      </c>
      <c r="B23" s="9" t="s">
        <v>64</v>
      </c>
      <c r="C23" s="87" t="str">
        <f ca="1">IF(ISNA(VLOOKUP($B23,KeyAll,COLUMN(Key!$B$4),0))=TRUE,"no key!",VLOOKUP($B23,KeyAll,COLUMN(Key!$B$4),0))</f>
        <v>Advertising &amp; Marketing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</row>
    <row r="24" spans="1:15" ht="15" customHeight="1" x14ac:dyDescent="0.3">
      <c r="A24" s="87" t="str">
        <f ca="1">IF(ISNA(VLOOKUP($B24,KeyAll,COLUMN(Key!$C$4),0))=TRUE,"no key!",VLOOKUP($B24,KeyAll,COLUMN(Key!$C$4),0))</f>
        <v>I-ADM02</v>
      </c>
      <c r="B24" s="9" t="s">
        <v>65</v>
      </c>
      <c r="C24" s="87" t="str">
        <f ca="1">IF(ISNA(VLOOKUP($B24,KeyAll,COLUMN(Key!$B$4),0))=TRUE,"no key!",VLOOKUP($B24,KeyAll,COLUMN(Key!$B$4),0))</f>
        <v>Bank Charges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</row>
    <row r="25" spans="1:15" ht="15" customHeight="1" x14ac:dyDescent="0.3">
      <c r="A25" s="87" t="str">
        <f ca="1">IF(ISNA(VLOOKUP($B25,KeyAll,COLUMN(Key!$C$4),0))=TRUE,"no key!",VLOOKUP($B25,KeyAll,COLUMN(Key!$C$4),0))</f>
        <v>I-ADM03</v>
      </c>
      <c r="B25" s="9" t="s">
        <v>150</v>
      </c>
      <c r="C25" s="87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ht="15" customHeight="1" x14ac:dyDescent="0.3">
      <c r="A26" s="87" t="str">
        <f ca="1">IF(ISNA(VLOOKUP($B26,KeyAll,COLUMN(Key!$C$4),0))=TRUE,"no key!",VLOOKUP($B26,KeyAll,COLUMN(Key!$C$4),0))</f>
        <v>I-ADM04</v>
      </c>
      <c r="B26" s="9" t="s">
        <v>151</v>
      </c>
      <c r="C26" s="87" t="str">
        <f ca="1">IF(ISNA(VLOOKUP($B26,KeyAll,COLUMN(Key!$B$4),0))=TRUE,"no key!",VLOOKUP($B26,KeyAll,COLUMN(Key!$B$4),0))</f>
        <v>Computer Expenses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1:15" ht="15" customHeight="1" x14ac:dyDescent="0.3">
      <c r="A27" s="87" t="str">
        <f ca="1">IF(ISNA(VLOOKUP($B27,KeyAll,COLUMN(Key!$C$4),0))=TRUE,"no key!",VLOOKUP($B27,KeyAll,COLUMN(Key!$C$4),0))</f>
        <v>I-ADM05</v>
      </c>
      <c r="B27" s="9" t="s">
        <v>152</v>
      </c>
      <c r="C27" s="87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ht="15" customHeight="1" x14ac:dyDescent="0.3">
      <c r="A28" s="87" t="str">
        <f ca="1">IF(ISNA(VLOOKUP($B28,KeyAll,COLUMN(Key!$C$4),0))=TRUE,"no key!",VLOOKUP($B28,KeyAll,COLUMN(Key!$C$4),0))</f>
        <v>I-ADM07</v>
      </c>
      <c r="B28" s="9" t="s">
        <v>153</v>
      </c>
      <c r="C28" s="87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15" customHeight="1" x14ac:dyDescent="0.3">
      <c r="A29" s="87" t="str">
        <f ca="1">IF(ISNA(VLOOKUP($B29,KeyAll,COLUMN(Key!$C$4),0))=TRUE,"no key!",VLOOKUP($B29,KeyAll,COLUMN(Key!$C$4),0))</f>
        <v>I-ADM08</v>
      </c>
      <c r="B29" s="9" t="s">
        <v>154</v>
      </c>
      <c r="C29" s="87" t="str">
        <f ca="1">IF(ISNA(VLOOKUP($B29,KeyAll,COLUMN(Key!$B$4),0))=TRUE,"no key!",VLOOKUP($B29,KeyAll,COLUMN(Key!$B$4),0))</f>
        <v>Insurance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ht="15" customHeight="1" x14ac:dyDescent="0.3">
      <c r="A30" s="87" t="str">
        <f ca="1">IF(ISNA(VLOOKUP($B30,KeyAll,COLUMN(Key!$C$4),0))=TRUE,"no key!",VLOOKUP($B30,KeyAll,COLUMN(Key!$C$4),0))</f>
        <v>I-ADM09</v>
      </c>
      <c r="B30" s="9" t="s">
        <v>155</v>
      </c>
      <c r="C30" s="87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5" ht="15" customHeight="1" x14ac:dyDescent="0.3">
      <c r="A31" s="87" t="str">
        <f ca="1">IF(ISNA(VLOOKUP($B31,KeyAll,COLUMN(Key!$C$4),0))=TRUE,"no key!",VLOOKUP($B31,KeyAll,COLUMN(Key!$C$4),0))</f>
        <v>I-ADM10</v>
      </c>
      <c r="B31" s="9" t="s">
        <v>156</v>
      </c>
      <c r="C31" s="87" t="str">
        <f ca="1">IF(ISNA(VLOOKUP($B31,KeyAll,COLUMN(Key!$B$4),0))=TRUE,"no key!",VLOOKUP($B31,KeyAll,COLUMN(Key!$B$4),0))</f>
        <v>Office Rent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5" ht="15" customHeight="1" x14ac:dyDescent="0.3">
      <c r="A32" s="87" t="str">
        <f ca="1">IF(ISNA(VLOOKUP($B32,KeyAll,COLUMN(Key!$C$4),0))=TRUE,"no key!",VLOOKUP($B32,KeyAll,COLUMN(Key!$C$4),0))</f>
        <v>I-ADM11</v>
      </c>
      <c r="B32" s="9" t="s">
        <v>157</v>
      </c>
      <c r="C32" s="87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ht="15" customHeight="1" x14ac:dyDescent="0.3">
      <c r="A33" s="87" t="str">
        <f ca="1">IF(ISNA(VLOOKUP($B33,KeyAll,COLUMN(Key!$C$4),0))=TRUE,"no key!",VLOOKUP($B33,KeyAll,COLUMN(Key!$C$4),0))</f>
        <v>I-ADM12</v>
      </c>
      <c r="B33" s="9" t="s">
        <v>158</v>
      </c>
      <c r="C33" s="87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15" customHeight="1" x14ac:dyDescent="0.3">
      <c r="A34" s="87" t="str">
        <f ca="1">IF(ISNA(VLOOKUP($B34,KeyAll,COLUMN(Key!$C$4),0))=TRUE,"no key!",VLOOKUP($B34,KeyAll,COLUMN(Key!$C$4),0))</f>
        <v>I-ADM13</v>
      </c>
      <c r="B34" s="9" t="s">
        <v>159</v>
      </c>
      <c r="C34" s="87" t="str">
        <f ca="1">IF(ISNA(VLOOKUP($B34,KeyAll,COLUMN(Key!$B$4),0))=TRUE,"no key!",VLOOKUP($B34,KeyAll,COLUMN(Key!$B$4),0))</f>
        <v>Salaries &amp; Wages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1:15" ht="15" customHeight="1" x14ac:dyDescent="0.3">
      <c r="A35" s="87" t="str">
        <f ca="1">IF(ISNA(VLOOKUP($B35,KeyAll,COLUMN(Key!$C$4),0))=TRUE,"no key!",VLOOKUP($B35,KeyAll,COLUMN(Key!$C$4),0))</f>
        <v>I-ADM14</v>
      </c>
      <c r="B35" s="9" t="s">
        <v>160</v>
      </c>
      <c r="C35" s="87" t="str">
        <f ca="1">IF(ISNA(VLOOKUP($B35,KeyAll,COLUMN(Key!$B$4),0))=TRUE,"no key!",VLOOKUP($B35,KeyAll,COLUMN(Key!$B$4),0))</f>
        <v>Stationery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</row>
    <row r="36" spans="1:15" ht="15" customHeight="1" x14ac:dyDescent="0.3">
      <c r="A36" s="87" t="str">
        <f ca="1">IF(ISNA(VLOOKUP($B36,KeyAll,COLUMN(Key!$C$4),0))=TRUE,"no key!",VLOOKUP($B36,KeyAll,COLUMN(Key!$C$4),0))</f>
        <v>I-ADM15</v>
      </c>
      <c r="B36" s="9" t="s">
        <v>161</v>
      </c>
      <c r="C36" s="87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5" ht="15" customHeight="1" x14ac:dyDescent="0.3">
      <c r="A37" s="87" t="str">
        <f ca="1">IF(ISNA(VLOOKUP($B37,KeyAll,COLUMN(Key!$C$4),0))=TRUE,"no key!",VLOOKUP($B37,KeyAll,COLUMN(Key!$C$4),0))</f>
        <v>I-ADM16</v>
      </c>
      <c r="B37" s="9" t="s">
        <v>162</v>
      </c>
      <c r="C37" s="87" t="str">
        <f ca="1">IF(ISNA(VLOOKUP($B37,KeyAll,COLUMN(Key!$B$4),0))=TRUE,"no key!",VLOOKUP($B37,KeyAll,COLUMN(Key!$B$4),0))</f>
        <v>Telephone &amp; Internet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1:15" ht="15" customHeight="1" x14ac:dyDescent="0.3">
      <c r="A38" s="87" t="str">
        <f ca="1">IF(ISNA(VLOOKUP($B38,KeyAll,COLUMN(Key!$C$4),0))=TRUE,"no key!",VLOOKUP($B38,KeyAll,COLUMN(Key!$C$4),0))</f>
        <v>I-ADM17</v>
      </c>
      <c r="B38" s="9" t="s">
        <v>163</v>
      </c>
      <c r="C38" s="87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15" customHeight="1" x14ac:dyDescent="0.3">
      <c r="A39" s="87" t="str">
        <f ca="1">IF(ISNA(VLOOKUP($B39,KeyAll,COLUMN(Key!$C$4),0))=TRUE,"no key!",VLOOKUP($B39,KeyAll,COLUMN(Key!$C$4),0))</f>
        <v>I-ADM18</v>
      </c>
      <c r="B39" s="9" t="s">
        <v>164</v>
      </c>
      <c r="C39" s="87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1:15" ht="15" customHeight="1" x14ac:dyDescent="0.3">
      <c r="A40" s="87" t="str">
        <f ca="1">IF(ISNA(VLOOKUP($B40,KeyAll,COLUMN(Key!$C$4),0))=TRUE,"no key!",VLOOKUP($B40,KeyAll,COLUMN(Key!$C$4),0))</f>
        <v>I-ADM19</v>
      </c>
      <c r="B40" s="9" t="s">
        <v>165</v>
      </c>
      <c r="C40" s="87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15" customHeight="1" x14ac:dyDescent="0.3">
      <c r="A41" s="87" t="str">
        <f ca="1">IF(ISNA(VLOOKUP($B41,KeyAll,COLUMN(Key!$C$4),0))=TRUE,"no key!",VLOOKUP($B41,KeyAll,COLUMN(Key!$C$4),0))</f>
        <v>I-ADM06</v>
      </c>
      <c r="B41" s="9" t="s">
        <v>166</v>
      </c>
      <c r="C41" s="87" t="str">
        <f ca="1">IF(ISNA(VLOOKUP($B41,KeyAll,COLUMN(Key!$B$4),0))=TRUE,"no key!",VLOOKUP($B41,KeyAll,COLUMN(Key!$B$4),0))</f>
        <v>Depreciation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ht="15" customHeight="1" x14ac:dyDescent="0.3">
      <c r="A42" s="87" t="str">
        <f ca="1">IF(ISNA(VLOOKUP($B42,KeyAll,COLUMN(Key!$C$4),0))=TRUE,"no key!",VLOOKUP($B42,KeyAll,COLUMN(Key!$C$4),0))</f>
        <v>I-FIN</v>
      </c>
      <c r="B42" s="9" t="s">
        <v>167</v>
      </c>
      <c r="C42" s="87" t="str">
        <f ca="1">IF(ISNA(VLOOKUP($B42,KeyAll,COLUMN(Key!$B$4),0))=TRUE,"no key!",VLOOKUP($B42,KeyAll,COLUMN(Key!$B$4),0))</f>
        <v>Interest Paid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1:15" ht="15" customHeight="1" x14ac:dyDescent="0.3">
      <c r="A43" s="87" t="str">
        <f ca="1">IF(ISNA(VLOOKUP($B43,KeyAll,COLUMN(Key!$C$4),0))=TRUE,"no key!",VLOOKUP($B43,KeyAll,COLUMN(Key!$C$4),0))</f>
        <v>I-TAX</v>
      </c>
      <c r="B43" s="9" t="s">
        <v>67</v>
      </c>
      <c r="C43" s="87" t="str">
        <f ca="1">IF(ISNA(VLOOKUP($B43,KeyAll,COLUMN(Key!$B$4),0))=TRUE,"no key!",VLOOKUP($B43,KeyAll,COLUMN(Key!$B$4),0))</f>
        <v>Taxation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1:15" ht="15" customHeight="1" x14ac:dyDescent="0.3">
      <c r="A44" s="87" t="str">
        <f ca="1">IF(ISNA(VLOOKUP($B44,KeyAll,COLUMN(Key!$C$4),0))=TRUE,"no key!",VLOOKUP($B44,KeyAll,COLUMN(Key!$C$4),0))</f>
        <v>I-DIV</v>
      </c>
      <c r="B44" s="9" t="s">
        <v>68</v>
      </c>
      <c r="C44" s="87" t="str">
        <f ca="1">IF(ISNA(VLOOKUP($B44,KeyAll,COLUMN(Key!$B$4),0))=TRUE,"no key!",VLOOKUP($B44,KeyAll,COLUMN(Key!$B$4),0))</f>
        <v>Dividends Paid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</row>
    <row r="45" spans="1:15" ht="15" customHeight="1" x14ac:dyDescent="0.3">
      <c r="A45" s="87" t="str">
        <f ca="1">IF(ISNA(VLOOKUP($B45,KeyAll,COLUMN(Key!$C$4),0))=TRUE,"no key!",VLOOKUP($B45,KeyAll,COLUMN(Key!$C$4),0))</f>
        <v>I-OTX01</v>
      </c>
      <c r="B45" s="9" t="s">
        <v>66</v>
      </c>
      <c r="C45" s="87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1:15" ht="15" customHeight="1" x14ac:dyDescent="0.3">
      <c r="A46" s="87" t="str">
        <f ca="1">IF(ISNA(VLOOKUP($B46,KeyAll,COLUMN(Key!$C$4),0))=TRUE,"no key!",VLOOKUP($B46,KeyAll,COLUMN(Key!$C$4),0))</f>
        <v>I-REVO</v>
      </c>
      <c r="B46" s="9" t="s">
        <v>168</v>
      </c>
      <c r="C46" s="87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</row>
    <row r="47" spans="1:15" ht="15" customHeight="1" x14ac:dyDescent="0.3">
      <c r="A47" s="87" t="str">
        <f ca="1">IF(ISNA(VLOOKUP($B47,KeyAll,COLUMN(Key!$C$4),0))=TRUE,"no key!",VLOOKUP($B47,KeyAll,COLUMN(Key!$C$4),0))</f>
        <v>I-REVO02</v>
      </c>
      <c r="B47" s="9" t="s">
        <v>256</v>
      </c>
      <c r="C47" s="87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1:15" ht="15" customHeight="1" x14ac:dyDescent="0.3">
      <c r="A48" s="87" t="str">
        <f ca="1">IF(ISNA(VLOOKUP($B48,KeyAll,COLUMN(Key!$C$4),0))=TRUE,"no key!",VLOOKUP($B48,KeyAll,COLUMN(Key!$C$4),0))</f>
        <v>I-REVO03</v>
      </c>
      <c r="B48" s="9" t="s">
        <v>260</v>
      </c>
      <c r="C48" s="87" t="str">
        <f ca="1">IF(ISNA(VLOOKUP($B48,KeyAll,COLUMN(Key!$B$4),0))=TRUE,"no key!",VLOOKUP($B48,KeyAll,COLUMN(Key!$B$4),0))</f>
        <v>Interest Received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1:15" ht="15" customHeight="1" x14ac:dyDescent="0.3">
      <c r="A49" s="87" t="str">
        <f ca="1">IF(ISNA(VLOOKUP($B49,KeyAll,COLUMN(Key!$C$4),0))=TRUE,"no key!",VLOOKUP($B49,KeyAll,COLUMN(Key!$C$4),0))</f>
        <v>I-REVO04</v>
      </c>
      <c r="B49" s="9" t="s">
        <v>272</v>
      </c>
      <c r="C49" s="87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1:15" ht="15" customHeight="1" x14ac:dyDescent="0.3">
      <c r="A50" s="87" t="str">
        <f ca="1">IF(ISNA(VLOOKUP($B50,KeyAll,COLUMN(Key!$C$4),0))=TRUE,"no key!",VLOOKUP($B50,KeyAll,COLUMN(Key!$C$4),0))</f>
        <v>B-BANK</v>
      </c>
      <c r="B50" s="9" t="s">
        <v>198</v>
      </c>
      <c r="C50" s="87" t="str">
        <f ca="1">IF(ISNA(VLOOKUP($B50,KeyAll,COLUMN(Key!$B$4),0))=TRUE,"no key!",VLOOKUP($B50,KeyAll,COLUMN(Key!$B$4),0))</f>
        <v>B1 Bank Account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1:15" ht="15" customHeight="1" x14ac:dyDescent="0.3">
      <c r="A51" s="87" t="str">
        <f ca="1">IF(ISNA(VLOOKUP($B51,KeyAll,COLUMN(Key!$C$4),0))=TRUE,"no key!",VLOOKUP($B51,KeyAll,COLUMN(Key!$C$4),0))</f>
        <v>B-BANK</v>
      </c>
      <c r="B51" s="9" t="s">
        <v>200</v>
      </c>
      <c r="C51" s="87" t="str">
        <f ca="1">IF(ISNA(VLOOKUP($B51,KeyAll,COLUMN(Key!$B$4),0))=TRUE,"no key!",VLOOKUP($B51,KeyAll,COLUMN(Key!$B$4),0))</f>
        <v>B2 Bank Account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1:15" ht="15" customHeight="1" x14ac:dyDescent="0.3">
      <c r="A52" s="87" t="str">
        <f ca="1">IF(ISNA(VLOOKUP($B52,KeyAll,COLUMN(Key!$C$4),0))=TRUE,"no key!",VLOOKUP($B52,KeyAll,COLUMN(Key!$C$4),0))</f>
        <v>B-BANK</v>
      </c>
      <c r="B52" s="9" t="s">
        <v>202</v>
      </c>
      <c r="C52" s="87" t="str">
        <f ca="1">IF(ISNA(VLOOKUP($B52,KeyAll,COLUMN(Key!$B$4),0))=TRUE,"no key!",VLOOKUP($B52,KeyAll,COLUMN(Key!$B$4),0))</f>
        <v>B3 Bank Account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</row>
    <row r="53" spans="1:15" ht="15" customHeight="1" x14ac:dyDescent="0.3">
      <c r="A53" s="87" t="str">
        <f ca="1">IF(ISNA(VLOOKUP($B53,KeyAll,COLUMN(Key!$C$4),0))=TRUE,"no key!",VLOOKUP($B53,KeyAll,COLUMN(Key!$C$4),0))</f>
        <v>B-CASH</v>
      </c>
      <c r="B53" s="9" t="s">
        <v>204</v>
      </c>
      <c r="C53" s="87" t="str">
        <f ca="1">IF(ISNA(VLOOKUP($B53,KeyAll,COLUMN(Key!$B$4),0))=TRUE,"no key!",VLOOKUP($B53,KeyAll,COLUMN(Key!$B$4),0))</f>
        <v>Petty Cash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</row>
    <row r="54" spans="1:15" ht="15" customHeight="1" x14ac:dyDescent="0.3">
      <c r="A54" s="87" t="str">
        <f ca="1">IF(ISNA(VLOOKUP($B54,KeyAll,COLUMN(Key!$C$4),0))=TRUE,"no key!",VLOOKUP($B54,KeyAll,COLUMN(Key!$C$4),0))</f>
        <v>B-DEBT</v>
      </c>
      <c r="B54" s="9" t="s">
        <v>205</v>
      </c>
      <c r="C54" s="87" t="str">
        <f ca="1">IF(ISNA(VLOOKUP($B54,KeyAll,COLUMN(Key!$B$4),0))=TRUE,"no key!",VLOOKUP($B54,KeyAll,COLUMN(Key!$B$4),0))</f>
        <v>Trade Debtors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</row>
    <row r="55" spans="1:15" ht="15" customHeight="1" x14ac:dyDescent="0.3">
      <c r="A55" s="87" t="str">
        <f ca="1">IF(ISNA(VLOOKUP($B55,KeyAll,COLUMN(Key!$C$4),0))=TRUE,"no key!",VLOOKUP($B55,KeyAll,COLUMN(Key!$C$4),0))</f>
        <v>B-CREDT</v>
      </c>
      <c r="B55" s="9" t="s">
        <v>206</v>
      </c>
      <c r="C55" s="87" t="str">
        <f ca="1">IF(ISNA(VLOOKUP($B55,KeyAll,COLUMN(Key!$B$4),0))=TRUE,"no key!",VLOOKUP($B55,KeyAll,COLUMN(Key!$B$4),0))</f>
        <v>Trade Creditors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1:15" ht="15" customHeight="1" x14ac:dyDescent="0.3">
      <c r="A56" s="87" t="str">
        <f ca="1">IF(ISNA(VLOOKUP($B56,KeyAll,COLUMN(Key!$C$4),0))=TRUE,"no key!",VLOOKUP($B56,KeyAll,COLUMN(Key!$C$4),0))</f>
        <v>B-INV</v>
      </c>
      <c r="B56" s="9" t="s">
        <v>207</v>
      </c>
      <c r="C56" s="87" t="str">
        <f ca="1">IF(ISNA(VLOOKUP($B56,KeyAll,COLUMN(Key!$B$4),0))=TRUE,"no key!",VLOOKUP($B56,KeyAll,COLUMN(Key!$B$4),0))</f>
        <v>Inventory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1:15" ht="15" customHeight="1" x14ac:dyDescent="0.3">
      <c r="A57" s="87" t="str">
        <f ca="1">IF(ISNA(VLOOKUP($B57,KeyAll,COLUMN(Key!$C$4),0))=TRUE,"no key!",VLOOKUP($B57,KeyAll,COLUMN(Key!$C$4),0))</f>
        <v>I-COS</v>
      </c>
      <c r="B57" s="9" t="s">
        <v>209</v>
      </c>
      <c r="C57" s="87" t="str">
        <f ca="1">IF(ISNA(VLOOKUP($B57,KeyAll,COLUMN(Key!$B$4),0))=TRUE,"no key!",VLOOKUP($B57,KeyAll,COLUMN(Key!$B$4),0))</f>
        <v>Inventory Movement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1:15" ht="15" customHeight="1" x14ac:dyDescent="0.3">
      <c r="A58" s="87" t="str">
        <f ca="1">IF(ISNA(VLOOKUP($B58,KeyAll,COLUMN(Key!$C$4),0))=TRUE,"no key!",VLOOKUP($B58,KeyAll,COLUMN(Key!$C$4),0))</f>
        <v>B-RET</v>
      </c>
      <c r="B58" s="9" t="s">
        <v>211</v>
      </c>
      <c r="C58" s="87" t="str">
        <f ca="1">IF(ISNA(VLOOKUP($B58,KeyAll,COLUMN(Key!$B$4),0))=TRUE,"no key!",VLOOKUP($B58,KeyAll,COLUMN(Key!$B$4),0))</f>
        <v>Retained Earnings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</sheetData>
  <conditionalFormatting sqref="D3:O3">
    <cfRule type="expression" dxfId="10" priority="2" stopIfTrue="1">
      <formula>ROUND(D3,2)&lt;&gt;0</formula>
    </cfRule>
  </conditionalFormatting>
  <conditionalFormatting sqref="A4">
    <cfRule type="expression" dxfId="9" priority="1" stopIfTrue="1">
      <formula>COUNTIF(TBClass,"no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6" fitToHeight="0" orientation="landscape" r:id="rId1"/>
  <headerFooter>
    <oddFooter>&amp;C&amp;9Page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0"/>
  <sheetViews>
    <sheetView zoomScale="95" zoomScaleNormal="95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ColWidth="9.1328125" defaultRowHeight="15" customHeight="1" x14ac:dyDescent="0.3"/>
  <cols>
    <col min="1" max="1" width="10.73046875" style="17" customWidth="1"/>
    <col min="2" max="2" width="18.73046875" style="9" customWidth="1"/>
    <col min="3" max="3" width="26.73046875" style="9" customWidth="1"/>
    <col min="4" max="15" width="14.73046875" style="10" customWidth="1"/>
    <col min="16" max="18" width="15.73046875" style="10" customWidth="1"/>
    <col min="19" max="16384" width="9.1328125" style="3"/>
  </cols>
  <sheetData>
    <row r="1" spans="1:18" x14ac:dyDescent="0.4">
      <c r="A1" s="14" t="str">
        <f>'Set-up'!$B$4</f>
        <v>ABC Trading (Pty) Limited</v>
      </c>
    </row>
    <row r="2" spans="1:18" ht="15" customHeight="1" x14ac:dyDescent="0.35">
      <c r="A2" s="15" t="s">
        <v>131</v>
      </c>
    </row>
    <row r="3" spans="1:18" ht="15" customHeight="1" x14ac:dyDescent="0.3">
      <c r="A3" s="16" t="s">
        <v>128</v>
      </c>
      <c r="D3" s="10">
        <f t="shared" ref="D3:O3" ca="1" si="0">IF(ForRowCount=0,0,ROUND(SUBTOTAL(9,OFFSET(D$4,1,0,ForRowCount,1)),2))</f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K3" s="10">
        <f t="shared" ca="1" si="0"/>
        <v>0</v>
      </c>
      <c r="L3" s="10">
        <f t="shared" ca="1" si="0"/>
        <v>0</v>
      </c>
      <c r="M3" s="10">
        <f t="shared" ca="1" si="0"/>
        <v>0</v>
      </c>
      <c r="N3" s="10">
        <f t="shared" ca="1" si="0"/>
        <v>0</v>
      </c>
      <c r="O3" s="10">
        <f t="shared" ca="1" si="0"/>
        <v>0</v>
      </c>
    </row>
    <row r="4" spans="1:18" s="21" customFormat="1" ht="18" customHeight="1" x14ac:dyDescent="0.35">
      <c r="A4" s="18" t="s">
        <v>13</v>
      </c>
      <c r="B4" s="81" t="s">
        <v>61</v>
      </c>
      <c r="C4" s="18" t="s">
        <v>14</v>
      </c>
      <c r="D4" s="85">
        <f ca="1">DATE(YEAR('Set-up'!$B$10)-1,MONTH('Set-up'!$B$10)+2,0)</f>
        <v>42460</v>
      </c>
      <c r="E4" s="85">
        <f ca="1">DATE(YEAR(D4),MONTH(D4)+2,0)</f>
        <v>42490</v>
      </c>
      <c r="F4" s="85">
        <f t="shared" ref="F4:O4" ca="1" si="1">DATE(YEAR(E4),MONTH(E4)+2,0)</f>
        <v>42521</v>
      </c>
      <c r="G4" s="85">
        <f t="shared" ca="1" si="1"/>
        <v>42551</v>
      </c>
      <c r="H4" s="85">
        <f t="shared" ca="1" si="1"/>
        <v>42582</v>
      </c>
      <c r="I4" s="85">
        <f t="shared" ca="1" si="1"/>
        <v>42613</v>
      </c>
      <c r="J4" s="85">
        <f t="shared" ca="1" si="1"/>
        <v>42643</v>
      </c>
      <c r="K4" s="85">
        <f t="shared" ca="1" si="1"/>
        <v>42674</v>
      </c>
      <c r="L4" s="85">
        <f t="shared" ca="1" si="1"/>
        <v>42704</v>
      </c>
      <c r="M4" s="85">
        <f t="shared" ca="1" si="1"/>
        <v>42735</v>
      </c>
      <c r="N4" s="85">
        <f t="shared" ca="1" si="1"/>
        <v>42766</v>
      </c>
      <c r="O4" s="85">
        <f t="shared" ca="1" si="1"/>
        <v>42794</v>
      </c>
      <c r="P4" s="20"/>
      <c r="Q4" s="20"/>
      <c r="R4" s="20"/>
    </row>
    <row r="5" spans="1:18" ht="15" customHeight="1" x14ac:dyDescent="0.3">
      <c r="A5" s="87" t="str">
        <f ca="1">IF(ISNA(VLOOKUP($B5,KeyAll,COLUMN(Key!$C$4),0))=TRUE,"no key!",VLOOKUP($B5,KeyAll,COLUMN(Key!$C$4),0))</f>
        <v>B-PPE</v>
      </c>
      <c r="B5" s="9" t="s">
        <v>78</v>
      </c>
      <c r="C5" s="87" t="str">
        <f ca="1">IF(ISNA(VLOOKUP($B5,KeyAll,COLUMN(Key!$B$4),0))=TRUE,"no key!",VLOOKUP($B5,KeyAll,COLUMN(Key!$B$4),0))</f>
        <v>Property, Plant &amp; Equipment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</row>
    <row r="6" spans="1:18" ht="15" customHeight="1" x14ac:dyDescent="0.3">
      <c r="A6" s="87" t="str">
        <f ca="1">IF(ISNA(VLOOKUP($B6,KeyAll,COLUMN(Key!$C$4),0))=TRUE,"no key!",VLOOKUP($B6,KeyAll,COLUMN(Key!$C$4),0))</f>
        <v>B-PPE</v>
      </c>
      <c r="B6" s="9" t="s">
        <v>79</v>
      </c>
      <c r="C6" s="87" t="str">
        <f ca="1">IF(ISNA(VLOOKUP($B6,KeyAll,COLUMN(Key!$B$4),0))=TRUE,"no key!",VLOOKUP($B6,KeyAll,COLUMN(Key!$B$4),0))</f>
        <v>Accumulated Depreciation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</row>
    <row r="7" spans="1:18" ht="15" customHeight="1" x14ac:dyDescent="0.3">
      <c r="A7" s="87" t="str">
        <f ca="1">IF(ISNA(VLOOKUP($B7,KeyAll,COLUMN(Key!$C$4),0))=TRUE,"no key!",VLOOKUP($B7,KeyAll,COLUMN(Key!$C$4),0))</f>
        <v>B-VEST</v>
      </c>
      <c r="B7" s="9" t="s">
        <v>80</v>
      </c>
      <c r="C7" s="87" t="str">
        <f ca="1">IF(ISNA(VLOOKUP($B7,KeyAll,COLUMN(Key!$B$4),0))=TRUE,"no key!",VLOOKUP($B7,KeyAll,COLUMN(Key!$B$4),0))</f>
        <v>Investments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8" ht="15" customHeight="1" x14ac:dyDescent="0.3">
      <c r="A8" s="87" t="str">
        <f ca="1">IF(ISNA(VLOOKUP($B8,KeyAll,COLUMN(Key!$C$4),0))=TRUE,"no key!",VLOOKUP($B8,KeyAll,COLUMN(Key!$C$4),0))</f>
        <v>B-CASH</v>
      </c>
      <c r="B8" s="9" t="s">
        <v>89</v>
      </c>
      <c r="C8" s="87" t="str">
        <f ca="1">IF(ISNA(VLOOKUP($B8,KeyAll,COLUMN(Key!$B$4),0))=TRUE,"no key!",VLOOKUP($B8,KeyAll,COLUMN(Key!$B$4),0))</f>
        <v>Cash - Other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</row>
    <row r="9" spans="1:18" ht="15" customHeight="1" x14ac:dyDescent="0.3">
      <c r="A9" s="87" t="str">
        <f ca="1">IF(ISNA(VLOOKUP($B9,KeyAll,COLUMN(Key!$C$4),0))=TRUE,"no key!",VLOOKUP($B9,KeyAll,COLUMN(Key!$C$4),0))</f>
        <v>B-BANK</v>
      </c>
      <c r="B9" s="9" t="s">
        <v>148</v>
      </c>
      <c r="C9" s="87" t="str">
        <f ca="1">IF(ISNA(VLOOKUP($B9,KeyAll,COLUMN(Key!$B$4),0))=TRUE,"no key!",VLOOKUP($B9,KeyAll,COLUMN(Key!$B$4),0))</f>
        <v>Cash Transfer Control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8" ht="15" customHeight="1" x14ac:dyDescent="0.3">
      <c r="A10" s="87" t="str">
        <f ca="1">IF(ISNA(VLOOKUP($B10,KeyAll,COLUMN(Key!$C$4),0))=TRUE,"no key!",VLOOKUP($B10,KeyAll,COLUMN(Key!$C$4),0))</f>
        <v>B-DEBT</v>
      </c>
      <c r="B10" s="9" t="s">
        <v>149</v>
      </c>
      <c r="C10" s="87" t="str">
        <f ca="1">IF(ISNA(VLOOKUP($B10,KeyAll,COLUMN(Key!$B$4),0))=TRUE,"no key!",VLOOKUP($B10,KeyAll,COLUMN(Key!$B$4),0))</f>
        <v>Debtors - Other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8" ht="15" customHeight="1" x14ac:dyDescent="0.3">
      <c r="A11" s="87" t="str">
        <f ca="1">IF(ISNA(VLOOKUP($B11,KeyAll,COLUMN(Key!$C$4),0))=TRUE,"no key!",VLOOKUP($B11,KeyAll,COLUMN(Key!$C$4),0))</f>
        <v>B-CREDT</v>
      </c>
      <c r="B11" s="9" t="s">
        <v>75</v>
      </c>
      <c r="C11" s="87" t="str">
        <f ca="1">IF(ISNA(VLOOKUP($B11,KeyAll,COLUMN(Key!$B$4),0))=TRUE,"no key!",VLOOKUP($B11,KeyAll,COLUMN(Key!$B$4),0))</f>
        <v>Creditors - Other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8" ht="15" customHeight="1" x14ac:dyDescent="0.3">
      <c r="A12" s="87" t="str">
        <f ca="1">IF(ISNA(VLOOKUP($B12,KeyAll,COLUMN(Key!$C$4),0))=TRUE,"no key!",VLOOKUP($B12,KeyAll,COLUMN(Key!$C$4),0))</f>
        <v>B-INT</v>
      </c>
      <c r="B12" s="9" t="s">
        <v>263</v>
      </c>
      <c r="C12" s="87" t="str">
        <f ca="1">IF(ISNA(VLOOKUP($B12,KeyAll,COLUMN(Key!$B$4),0))=TRUE,"no key!",VLOOKUP($B12,KeyAll,COLUMN(Key!$B$4),0))</f>
        <v>Interest Payable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ht="15" customHeight="1" x14ac:dyDescent="0.3">
      <c r="A13" s="87" t="str">
        <f ca="1">IF(ISNA(VLOOKUP($B13,KeyAll,COLUMN(Key!$C$4),0))=TRUE,"no key!",VLOOKUP($B13,KeyAll,COLUMN(Key!$C$4),0))</f>
        <v>B-DIV</v>
      </c>
      <c r="B13" s="9" t="s">
        <v>264</v>
      </c>
      <c r="C13" s="87" t="str">
        <f ca="1">IF(ISNA(VLOOKUP($B13,KeyAll,COLUMN(Key!$B$4),0))=TRUE,"no key!",VLOOKUP($B13,KeyAll,COLUMN(Key!$B$4),0))</f>
        <v>Dividends Payable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1:18" ht="15" customHeight="1" x14ac:dyDescent="0.3">
      <c r="A14" s="87" t="str">
        <f ca="1">IF(ISNA(VLOOKUP($B14,KeyAll,COLUMN(Key!$C$4),0))=TRUE,"no key!",VLOOKUP($B14,KeyAll,COLUMN(Key!$C$4),0))</f>
        <v>B-TAX</v>
      </c>
      <c r="B14" s="9" t="s">
        <v>265</v>
      </c>
      <c r="C14" s="87" t="str">
        <f ca="1">IF(ISNA(VLOOKUP($B14,KeyAll,COLUMN(Key!$B$4),0))=TRUE,"no key!",VLOOKUP($B14,KeyAll,COLUMN(Key!$B$4),0))</f>
        <v>Provision for Taxation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8" ht="15" customHeight="1" x14ac:dyDescent="0.3">
      <c r="A15" s="87" t="str">
        <f ca="1">IF(ISNA(VLOOKUP($B15,KeyAll,COLUMN(Key!$C$4),0))=TRUE,"no key!",VLOOKUP($B15,KeyAll,COLUMN(Key!$C$4),0))</f>
        <v>B-PROV</v>
      </c>
      <c r="B15" s="9" t="s">
        <v>269</v>
      </c>
      <c r="C15" s="87" t="str">
        <f ca="1">IF(ISNA(VLOOKUP($B15,KeyAll,COLUMN(Key!$B$4),0))=TRUE,"no key!",VLOOKUP($B15,KeyAll,COLUMN(Key!$B$4),0))</f>
        <v>Provisions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1:18" ht="15" customHeight="1" x14ac:dyDescent="0.3">
      <c r="A16" s="87" t="str">
        <f ca="1">IF(ISNA(VLOOKUP($B16,KeyAll,COLUMN(Key!$C$4),0))=TRUE,"no key!",VLOOKUP($B16,KeyAll,COLUMN(Key!$C$4),0))</f>
        <v>B-CREDT</v>
      </c>
      <c r="B16" s="9" t="s">
        <v>77</v>
      </c>
      <c r="C16" s="87" t="str">
        <f ca="1">IF(ISNA(VLOOKUP($B16,KeyAll,COLUMN(Key!$B$4),0))=TRUE,"no key!",VLOOKUP($B16,KeyAll,COLUMN(Key!$B$4),0))</f>
        <v>Sales Tax Control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1:15" ht="15" customHeight="1" x14ac:dyDescent="0.3">
      <c r="A17" s="87" t="str">
        <f ca="1">IF(ISNA(VLOOKUP($B17,KeyAll,COLUMN(Key!$C$4),0))=TRUE,"no key!",VLOOKUP($B17,KeyAll,COLUMN(Key!$C$4),0))</f>
        <v>B-LOAN</v>
      </c>
      <c r="B17" s="9" t="s">
        <v>87</v>
      </c>
      <c r="C17" s="87" t="str">
        <f ca="1">IF(ISNA(VLOOKUP($B17,KeyAll,COLUMN(Key!$B$4),0))=TRUE,"no key!",VLOOKUP($B17,KeyAll,COLUMN(Key!$B$4),0))</f>
        <v>Long Term Liabilities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ht="15" customHeight="1" x14ac:dyDescent="0.3">
      <c r="A18" s="87" t="str">
        <f ca="1">IF(ISNA(VLOOKUP($B18,KeyAll,COLUMN(Key!$C$4),0))=TRUE,"no key!",VLOOKUP($B18,KeyAll,COLUMN(Key!$C$4),0))</f>
        <v>B-SCAP</v>
      </c>
      <c r="B18" s="9" t="s">
        <v>82</v>
      </c>
      <c r="C18" s="87" t="str">
        <f ca="1">IF(ISNA(VLOOKUP($B18,KeyAll,COLUMN(Key!$B$4),0))=TRUE,"no key!",VLOOKUP($B18,KeyAll,COLUMN(Key!$B$4),0))</f>
        <v>Share Capital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1:15" ht="15" customHeight="1" x14ac:dyDescent="0.3">
      <c r="A19" s="87" t="str">
        <f ca="1">IF(ISNA(VLOOKUP($B19,KeyAll,COLUMN(Key!$C$4),0))=TRUE,"no key!",VLOOKUP($B19,KeyAll,COLUMN(Key!$C$4),0))</f>
        <v>B-RET</v>
      </c>
      <c r="B19" s="9" t="s">
        <v>81</v>
      </c>
      <c r="C19" s="87" t="str">
        <f ca="1">IF(ISNA(VLOOKUP($B19,KeyAll,COLUMN(Key!$B$4),0))=TRUE,"no key!",VLOOKUP($B19,KeyAll,COLUMN(Key!$B$4),0))</f>
        <v>Reserves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ht="15" customHeight="1" x14ac:dyDescent="0.3">
      <c r="A20" s="87" t="str">
        <f ca="1">IF(ISNA(VLOOKUP($B20,KeyAll,COLUMN(Key!$C$4),0))=TRUE,"no key!",VLOOKUP($B20,KeyAll,COLUMN(Key!$C$4),0))</f>
        <v>I-REVS</v>
      </c>
      <c r="B20" s="9" t="s">
        <v>59</v>
      </c>
      <c r="C20" s="87" t="str">
        <f ca="1">IF(ISNA(VLOOKUP($B20,KeyAll,COLUMN(Key!$B$4),0))=TRUE,"no key!",VLOOKUP($B20,KeyAll,COLUMN(Key!$B$4),0))</f>
        <v>Turnover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ht="15" customHeight="1" x14ac:dyDescent="0.3">
      <c r="A21" s="87" t="str">
        <f ca="1">IF(ISNA(VLOOKUP($B21,KeyAll,COLUMN(Key!$C$4),0))=TRUE,"no key!",VLOOKUP($B21,KeyAll,COLUMN(Key!$C$4),0))</f>
        <v>I-COS</v>
      </c>
      <c r="B21" s="9" t="s">
        <v>60</v>
      </c>
      <c r="C21" s="87" t="str">
        <f ca="1">IF(ISNA(VLOOKUP($B21,KeyAll,COLUMN(Key!$B$4),0))=TRUE,"no key!",VLOOKUP($B21,KeyAll,COLUMN(Key!$B$4),0))</f>
        <v>Stock Purchases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1:15" ht="15" customHeight="1" x14ac:dyDescent="0.3">
      <c r="A22" s="87" t="str">
        <f ca="1">IF(ISNA(VLOOKUP($B22,KeyAll,COLUMN(Key!$C$4),0))=TRUE,"no key!",VLOOKUP($B22,KeyAll,COLUMN(Key!$C$4),0))</f>
        <v>I-ADM01</v>
      </c>
      <c r="B22" s="9" t="s">
        <v>63</v>
      </c>
      <c r="C22" s="87" t="str">
        <f ca="1">IF(ISNA(VLOOKUP($B22,KeyAll,COLUMN(Key!$B$4),0))=TRUE,"no key!",VLOOKUP($B22,KeyAll,COLUMN(Key!$B$4),0))</f>
        <v>Accounting Fees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1:15" ht="15" customHeight="1" x14ac:dyDescent="0.3">
      <c r="A23" s="87" t="str">
        <f ca="1">IF(ISNA(VLOOKUP($B23,KeyAll,COLUMN(Key!$C$4),0))=TRUE,"no key!",VLOOKUP($B23,KeyAll,COLUMN(Key!$C$4),0))</f>
        <v>I-ADV01</v>
      </c>
      <c r="B23" s="9" t="s">
        <v>64</v>
      </c>
      <c r="C23" s="87" t="str">
        <f ca="1">IF(ISNA(VLOOKUP($B23,KeyAll,COLUMN(Key!$B$4),0))=TRUE,"no key!",VLOOKUP($B23,KeyAll,COLUMN(Key!$B$4),0))</f>
        <v>Advertising &amp; Marketing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</row>
    <row r="24" spans="1:15" ht="15" customHeight="1" x14ac:dyDescent="0.3">
      <c r="A24" s="87" t="str">
        <f ca="1">IF(ISNA(VLOOKUP($B24,KeyAll,COLUMN(Key!$C$4),0))=TRUE,"no key!",VLOOKUP($B24,KeyAll,COLUMN(Key!$C$4),0))</f>
        <v>I-ADM02</v>
      </c>
      <c r="B24" s="9" t="s">
        <v>65</v>
      </c>
      <c r="C24" s="87" t="str">
        <f ca="1">IF(ISNA(VLOOKUP($B24,KeyAll,COLUMN(Key!$B$4),0))=TRUE,"no key!",VLOOKUP($B24,KeyAll,COLUMN(Key!$B$4),0))</f>
        <v>Bank Charges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</row>
    <row r="25" spans="1:15" ht="15" customHeight="1" x14ac:dyDescent="0.3">
      <c r="A25" s="87" t="str">
        <f ca="1">IF(ISNA(VLOOKUP($B25,KeyAll,COLUMN(Key!$C$4),0))=TRUE,"no key!",VLOOKUP($B25,KeyAll,COLUMN(Key!$C$4),0))</f>
        <v>I-ADM03</v>
      </c>
      <c r="B25" s="9" t="s">
        <v>150</v>
      </c>
      <c r="C25" s="87" t="str">
        <f ca="1">IF(ISNA(VLOOKUP($B25,KeyAll,COLUMN(Key!$B$4),0))=TRUE,"no key!",VLOOKUP($B25,KeyAll,COLUMN(Key!$B$4),0))</f>
        <v>Commission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ht="15" customHeight="1" x14ac:dyDescent="0.3">
      <c r="A26" s="87" t="str">
        <f ca="1">IF(ISNA(VLOOKUP($B26,KeyAll,COLUMN(Key!$C$4),0))=TRUE,"no key!",VLOOKUP($B26,KeyAll,COLUMN(Key!$C$4),0))</f>
        <v>I-ADM04</v>
      </c>
      <c r="B26" s="9" t="s">
        <v>151</v>
      </c>
      <c r="C26" s="87" t="str">
        <f ca="1">IF(ISNA(VLOOKUP($B26,KeyAll,COLUMN(Key!$B$4),0))=TRUE,"no key!",VLOOKUP($B26,KeyAll,COLUMN(Key!$B$4),0))</f>
        <v>Computer Expenses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1:15" ht="15" customHeight="1" x14ac:dyDescent="0.3">
      <c r="A27" s="87" t="str">
        <f ca="1">IF(ISNA(VLOOKUP($B27,KeyAll,COLUMN(Key!$C$4),0))=TRUE,"no key!",VLOOKUP($B27,KeyAll,COLUMN(Key!$C$4),0))</f>
        <v>I-ADM05</v>
      </c>
      <c r="B27" s="9" t="s">
        <v>152</v>
      </c>
      <c r="C27" s="87" t="str">
        <f ca="1">IF(ISNA(VLOOKUP($B27,KeyAll,COLUMN(Key!$B$4),0))=TRUE,"no key!",VLOOKUP($B27,KeyAll,COLUMN(Key!$B$4),0))</f>
        <v>Consumables &amp; Cleaning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</row>
    <row r="28" spans="1:15" ht="15" customHeight="1" x14ac:dyDescent="0.3">
      <c r="A28" s="87" t="str">
        <f ca="1">IF(ISNA(VLOOKUP($B28,KeyAll,COLUMN(Key!$C$4),0))=TRUE,"no key!",VLOOKUP($B28,KeyAll,COLUMN(Key!$C$4),0))</f>
        <v>I-ADM07</v>
      </c>
      <c r="B28" s="9" t="s">
        <v>153</v>
      </c>
      <c r="C28" s="87" t="str">
        <f ca="1">IF(ISNA(VLOOKUP($B28,KeyAll,COLUMN(Key!$B$4),0))=TRUE,"no key!",VLOOKUP($B28,KeyAll,COLUMN(Key!$B$4),0))</f>
        <v>Entertainment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15" customHeight="1" x14ac:dyDescent="0.3">
      <c r="A29" s="87" t="str">
        <f ca="1">IF(ISNA(VLOOKUP($B29,KeyAll,COLUMN(Key!$C$4),0))=TRUE,"no key!",VLOOKUP($B29,KeyAll,COLUMN(Key!$C$4),0))</f>
        <v>I-ADM08</v>
      </c>
      <c r="B29" s="9" t="s">
        <v>154</v>
      </c>
      <c r="C29" s="87" t="str">
        <f ca="1">IF(ISNA(VLOOKUP($B29,KeyAll,COLUMN(Key!$B$4),0))=TRUE,"no key!",VLOOKUP($B29,KeyAll,COLUMN(Key!$B$4),0))</f>
        <v>Insurance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ht="15" customHeight="1" x14ac:dyDescent="0.3">
      <c r="A30" s="87" t="str">
        <f ca="1">IF(ISNA(VLOOKUP($B30,KeyAll,COLUMN(Key!$C$4),0))=TRUE,"no key!",VLOOKUP($B30,KeyAll,COLUMN(Key!$C$4),0))</f>
        <v>I-ADM09</v>
      </c>
      <c r="B30" s="9" t="s">
        <v>155</v>
      </c>
      <c r="C30" s="87" t="str">
        <f ca="1">IF(ISNA(VLOOKUP($B30,KeyAll,COLUMN(Key!$B$4),0))=TRUE,"no key!",VLOOKUP($B30,KeyAll,COLUMN(Key!$B$4),0))</f>
        <v>Office Expenses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5" ht="15" customHeight="1" x14ac:dyDescent="0.3">
      <c r="A31" s="87" t="str">
        <f ca="1">IF(ISNA(VLOOKUP($B31,KeyAll,COLUMN(Key!$C$4),0))=TRUE,"no key!",VLOOKUP($B31,KeyAll,COLUMN(Key!$C$4),0))</f>
        <v>I-ADM10</v>
      </c>
      <c r="B31" s="9" t="s">
        <v>156</v>
      </c>
      <c r="C31" s="87" t="str">
        <f ca="1">IF(ISNA(VLOOKUP($B31,KeyAll,COLUMN(Key!$B$4),0))=TRUE,"no key!",VLOOKUP($B31,KeyAll,COLUMN(Key!$B$4),0))</f>
        <v>Office Rent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5" ht="15" customHeight="1" x14ac:dyDescent="0.3">
      <c r="A32" s="87" t="str">
        <f ca="1">IF(ISNA(VLOOKUP($B32,KeyAll,COLUMN(Key!$C$4),0))=TRUE,"no key!",VLOOKUP($B32,KeyAll,COLUMN(Key!$C$4),0))</f>
        <v>I-ADM11</v>
      </c>
      <c r="B32" s="9" t="s">
        <v>157</v>
      </c>
      <c r="C32" s="87" t="str">
        <f ca="1">IF(ISNA(VLOOKUP($B32,KeyAll,COLUMN(Key!$B$4),0))=TRUE,"no key!",VLOOKUP($B32,KeyAll,COLUMN(Key!$B$4),0))</f>
        <v>Postage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</row>
    <row r="33" spans="1:15" ht="15" customHeight="1" x14ac:dyDescent="0.3">
      <c r="A33" s="87" t="str">
        <f ca="1">IF(ISNA(VLOOKUP($B33,KeyAll,COLUMN(Key!$C$4),0))=TRUE,"no key!",VLOOKUP($B33,KeyAll,COLUMN(Key!$C$4),0))</f>
        <v>I-ADM12</v>
      </c>
      <c r="B33" s="9" t="s">
        <v>158</v>
      </c>
      <c r="C33" s="87" t="str">
        <f ca="1">IF(ISNA(VLOOKUP($B33,KeyAll,COLUMN(Key!$B$4),0))=TRUE,"no key!",VLOOKUP($B33,KeyAll,COLUMN(Key!$B$4),0))</f>
        <v>Professional &amp; Legal Fees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15" customHeight="1" x14ac:dyDescent="0.3">
      <c r="A34" s="87" t="str">
        <f ca="1">IF(ISNA(VLOOKUP($B34,KeyAll,COLUMN(Key!$C$4),0))=TRUE,"no key!",VLOOKUP($B34,KeyAll,COLUMN(Key!$C$4),0))</f>
        <v>I-ADM13</v>
      </c>
      <c r="B34" s="9" t="s">
        <v>159</v>
      </c>
      <c r="C34" s="87" t="str">
        <f ca="1">IF(ISNA(VLOOKUP($B34,KeyAll,COLUMN(Key!$B$4),0))=TRUE,"no key!",VLOOKUP($B34,KeyAll,COLUMN(Key!$B$4),0))</f>
        <v>Salaries &amp; Wages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1:15" ht="15" customHeight="1" x14ac:dyDescent="0.3">
      <c r="A35" s="87" t="str">
        <f ca="1">IF(ISNA(VLOOKUP($B35,KeyAll,COLUMN(Key!$C$4),0))=TRUE,"no key!",VLOOKUP($B35,KeyAll,COLUMN(Key!$C$4),0))</f>
        <v>I-ADM14</v>
      </c>
      <c r="B35" s="9" t="s">
        <v>160</v>
      </c>
      <c r="C35" s="87" t="str">
        <f ca="1">IF(ISNA(VLOOKUP($B35,KeyAll,COLUMN(Key!$B$4),0))=TRUE,"no key!",VLOOKUP($B35,KeyAll,COLUMN(Key!$B$4),0))</f>
        <v>Stationery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</row>
    <row r="36" spans="1:15" ht="15" customHeight="1" x14ac:dyDescent="0.3">
      <c r="A36" s="87" t="str">
        <f ca="1">IF(ISNA(VLOOKUP($B36,KeyAll,COLUMN(Key!$C$4),0))=TRUE,"no key!",VLOOKUP($B36,KeyAll,COLUMN(Key!$C$4),0))</f>
        <v>I-ADM15</v>
      </c>
      <c r="B36" s="9" t="s">
        <v>161</v>
      </c>
      <c r="C36" s="87" t="str">
        <f ca="1">IF(ISNA(VLOOKUP($B36,KeyAll,COLUMN(Key!$B$4),0))=TRUE,"no key!",VLOOKUP($B36,KeyAll,COLUMN(Key!$B$4),0))</f>
        <v>Subscriptions &amp; Memberships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5" ht="15" customHeight="1" x14ac:dyDescent="0.3">
      <c r="A37" s="87" t="str">
        <f ca="1">IF(ISNA(VLOOKUP($B37,KeyAll,COLUMN(Key!$C$4),0))=TRUE,"no key!",VLOOKUP($B37,KeyAll,COLUMN(Key!$C$4),0))</f>
        <v>I-ADM16</v>
      </c>
      <c r="B37" s="9" t="s">
        <v>162</v>
      </c>
      <c r="C37" s="87" t="str">
        <f ca="1">IF(ISNA(VLOOKUP($B37,KeyAll,COLUMN(Key!$B$4),0))=TRUE,"no key!",VLOOKUP($B37,KeyAll,COLUMN(Key!$B$4),0))</f>
        <v>Telephone &amp; Internet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1:15" ht="15" customHeight="1" x14ac:dyDescent="0.3">
      <c r="A38" s="87" t="str">
        <f ca="1">IF(ISNA(VLOOKUP($B38,KeyAll,COLUMN(Key!$C$4),0))=TRUE,"no key!",VLOOKUP($B38,KeyAll,COLUMN(Key!$C$4),0))</f>
        <v>I-ADM17</v>
      </c>
      <c r="B38" s="9" t="s">
        <v>163</v>
      </c>
      <c r="C38" s="87" t="str">
        <f ca="1">IF(ISNA(VLOOKUP($B38,KeyAll,COLUMN(Key!$B$4),0))=TRUE,"no key!",VLOOKUP($B38,KeyAll,COLUMN(Key!$B$4),0))</f>
        <v>Training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15" customHeight="1" x14ac:dyDescent="0.3">
      <c r="A39" s="87" t="str">
        <f ca="1">IF(ISNA(VLOOKUP($B39,KeyAll,COLUMN(Key!$C$4),0))=TRUE,"no key!",VLOOKUP($B39,KeyAll,COLUMN(Key!$C$4),0))</f>
        <v>I-ADM18</v>
      </c>
      <c r="B39" s="9" t="s">
        <v>164</v>
      </c>
      <c r="C39" s="87" t="str">
        <f ca="1">IF(ISNA(VLOOKUP($B39,KeyAll,COLUMN(Key!$B$4),0))=TRUE,"no key!",VLOOKUP($B39,KeyAll,COLUMN(Key!$B$4),0))</f>
        <v>Travelling &amp; Accommodation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1:15" ht="15" customHeight="1" x14ac:dyDescent="0.3">
      <c r="A40" s="87" t="str">
        <f ca="1">IF(ISNA(VLOOKUP($B40,KeyAll,COLUMN(Key!$C$4),0))=TRUE,"no key!",VLOOKUP($B40,KeyAll,COLUMN(Key!$C$4),0))</f>
        <v>I-ADM19</v>
      </c>
      <c r="B40" s="9" t="s">
        <v>165</v>
      </c>
      <c r="C40" s="87" t="str">
        <f ca="1">IF(ISNA(VLOOKUP($B40,KeyAll,COLUMN(Key!$B$4),0))=TRUE,"no key!",VLOOKUP($B40,KeyAll,COLUMN(Key!$B$4),0))</f>
        <v>Utilities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15" customHeight="1" x14ac:dyDescent="0.3">
      <c r="A41" s="87" t="str">
        <f ca="1">IF(ISNA(VLOOKUP($B41,KeyAll,COLUMN(Key!$C$4),0))=TRUE,"no key!",VLOOKUP($B41,KeyAll,COLUMN(Key!$C$4),0))</f>
        <v>I-ADM06</v>
      </c>
      <c r="B41" s="9" t="s">
        <v>166</v>
      </c>
      <c r="C41" s="87" t="str">
        <f ca="1">IF(ISNA(VLOOKUP($B41,KeyAll,COLUMN(Key!$B$4),0))=TRUE,"no key!",VLOOKUP($B41,KeyAll,COLUMN(Key!$B$4),0))</f>
        <v>Depreciation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ht="15" customHeight="1" x14ac:dyDescent="0.3">
      <c r="A42" s="87" t="str">
        <f ca="1">IF(ISNA(VLOOKUP($B42,KeyAll,COLUMN(Key!$C$4),0))=TRUE,"no key!",VLOOKUP($B42,KeyAll,COLUMN(Key!$C$4),0))</f>
        <v>I-FIN</v>
      </c>
      <c r="B42" s="9" t="s">
        <v>167</v>
      </c>
      <c r="C42" s="87" t="str">
        <f ca="1">IF(ISNA(VLOOKUP($B42,KeyAll,COLUMN(Key!$B$4),0))=TRUE,"no key!",VLOOKUP($B42,KeyAll,COLUMN(Key!$B$4),0))</f>
        <v>Interest Paid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1:15" ht="15" customHeight="1" x14ac:dyDescent="0.3">
      <c r="A43" s="87" t="str">
        <f ca="1">IF(ISNA(VLOOKUP($B43,KeyAll,COLUMN(Key!$C$4),0))=TRUE,"no key!",VLOOKUP($B43,KeyAll,COLUMN(Key!$C$4),0))</f>
        <v>I-TAX</v>
      </c>
      <c r="B43" s="9" t="s">
        <v>67</v>
      </c>
      <c r="C43" s="87" t="str">
        <f ca="1">IF(ISNA(VLOOKUP($B43,KeyAll,COLUMN(Key!$B$4),0))=TRUE,"no key!",VLOOKUP($B43,KeyAll,COLUMN(Key!$B$4),0))</f>
        <v>Taxation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1:15" ht="15" customHeight="1" x14ac:dyDescent="0.3">
      <c r="A44" s="87" t="str">
        <f ca="1">IF(ISNA(VLOOKUP($B44,KeyAll,COLUMN(Key!$C$4),0))=TRUE,"no key!",VLOOKUP($B44,KeyAll,COLUMN(Key!$C$4),0))</f>
        <v>I-DIV</v>
      </c>
      <c r="B44" s="9" t="s">
        <v>68</v>
      </c>
      <c r="C44" s="87" t="str">
        <f ca="1">IF(ISNA(VLOOKUP($B44,KeyAll,COLUMN(Key!$B$4),0))=TRUE,"no key!",VLOOKUP($B44,KeyAll,COLUMN(Key!$B$4),0))</f>
        <v>Dividends Paid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</row>
    <row r="45" spans="1:15" ht="15" customHeight="1" x14ac:dyDescent="0.3">
      <c r="A45" s="87" t="str">
        <f ca="1">IF(ISNA(VLOOKUP($B45,KeyAll,COLUMN(Key!$C$4),0))=TRUE,"no key!",VLOOKUP($B45,KeyAll,COLUMN(Key!$C$4),0))</f>
        <v>I-OTX01</v>
      </c>
      <c r="B45" s="9" t="s">
        <v>66</v>
      </c>
      <c r="C45" s="87" t="str">
        <f ca="1">IF(ISNA(VLOOKUP($B45,KeyAll,COLUMN(Key!$B$4),0))=TRUE,"no key!",VLOOKUP($B45,KeyAll,COLUMN(Key!$B$4),0))</f>
        <v>Other Expenses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1:15" ht="15" customHeight="1" x14ac:dyDescent="0.3">
      <c r="A46" s="87" t="str">
        <f ca="1">IF(ISNA(VLOOKUP($B46,KeyAll,COLUMN(Key!$C$4),0))=TRUE,"no key!",VLOOKUP($B46,KeyAll,COLUMN(Key!$C$4),0))</f>
        <v>I-REVO</v>
      </c>
      <c r="B46" s="9" t="s">
        <v>168</v>
      </c>
      <c r="C46" s="87" t="str">
        <f ca="1">IF(ISNA(VLOOKUP($B46,KeyAll,COLUMN(Key!$B$4),0))=TRUE,"no key!",VLOOKUP($B46,KeyAll,COLUMN(Key!$B$4),0))</f>
        <v>Other Income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</row>
    <row r="47" spans="1:15" ht="15" customHeight="1" x14ac:dyDescent="0.3">
      <c r="A47" s="87" t="str">
        <f ca="1">IF(ISNA(VLOOKUP($B47,KeyAll,COLUMN(Key!$C$4),0))=TRUE,"no key!",VLOOKUP($B47,KeyAll,COLUMN(Key!$C$4),0))</f>
        <v>I-REVO02</v>
      </c>
      <c r="B47" s="9" t="s">
        <v>256</v>
      </c>
      <c r="C47" s="87" t="str">
        <f ca="1">IF(ISNA(VLOOKUP($B47,KeyAll,COLUMN(Key!$B$4),0))=TRUE,"no key!",VLOOKUP($B47,KeyAll,COLUMN(Key!$B$4),0))</f>
        <v>Dividends Received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1:15" ht="15" customHeight="1" x14ac:dyDescent="0.3">
      <c r="A48" s="87" t="str">
        <f ca="1">IF(ISNA(VLOOKUP($B48,KeyAll,COLUMN(Key!$C$4),0))=TRUE,"no key!",VLOOKUP($B48,KeyAll,COLUMN(Key!$C$4),0))</f>
        <v>I-REVO03</v>
      </c>
      <c r="B48" s="9" t="s">
        <v>260</v>
      </c>
      <c r="C48" s="87" t="str">
        <f ca="1">IF(ISNA(VLOOKUP($B48,KeyAll,COLUMN(Key!$B$4),0))=TRUE,"no key!",VLOOKUP($B48,KeyAll,COLUMN(Key!$B$4),0))</f>
        <v>Interest Received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1:15" ht="15" customHeight="1" x14ac:dyDescent="0.3">
      <c r="A49" s="87" t="str">
        <f ca="1">IF(ISNA(VLOOKUP($B49,KeyAll,COLUMN(Key!$C$4),0))=TRUE,"no key!",VLOOKUP($B49,KeyAll,COLUMN(Key!$C$4),0))</f>
        <v>I-REVO04</v>
      </c>
      <c r="B49" s="9" t="s">
        <v>272</v>
      </c>
      <c r="C49" s="87" t="str">
        <f ca="1">IF(ISNA(VLOOKUP($B49,KeyAll,COLUMN(Key!$B$4),0))=TRUE,"no key!",VLOOKUP($B49,KeyAll,COLUMN(Key!$B$4),0))</f>
        <v>Profit on Disposal of Asset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1:15" ht="15" customHeight="1" x14ac:dyDescent="0.3">
      <c r="A50" s="87" t="str">
        <f ca="1">IF(ISNA(VLOOKUP($B50,KeyAll,COLUMN(Key!$C$4),0))=TRUE,"no key!",VLOOKUP($B50,KeyAll,COLUMN(Key!$C$4),0))</f>
        <v>B-BANK</v>
      </c>
      <c r="B50" s="9" t="s">
        <v>198</v>
      </c>
      <c r="C50" s="87" t="str">
        <f ca="1">IF(ISNA(VLOOKUP($B50,KeyAll,COLUMN(Key!$B$4),0))=TRUE,"no key!",VLOOKUP($B50,KeyAll,COLUMN(Key!$B$4),0))</f>
        <v>B1 Bank Account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1:15" ht="15" customHeight="1" x14ac:dyDescent="0.3">
      <c r="A51" s="87" t="str">
        <f ca="1">IF(ISNA(VLOOKUP($B51,KeyAll,COLUMN(Key!$C$4),0))=TRUE,"no key!",VLOOKUP($B51,KeyAll,COLUMN(Key!$C$4),0))</f>
        <v>B-BANK</v>
      </c>
      <c r="B51" s="9" t="s">
        <v>200</v>
      </c>
      <c r="C51" s="87" t="str">
        <f ca="1">IF(ISNA(VLOOKUP($B51,KeyAll,COLUMN(Key!$B$4),0))=TRUE,"no key!",VLOOKUP($B51,KeyAll,COLUMN(Key!$B$4),0))</f>
        <v>B2 Bank Account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1:15" ht="15" customHeight="1" x14ac:dyDescent="0.3">
      <c r="A52" s="87" t="str">
        <f ca="1">IF(ISNA(VLOOKUP($B52,KeyAll,COLUMN(Key!$C$4),0))=TRUE,"no key!",VLOOKUP($B52,KeyAll,COLUMN(Key!$C$4),0))</f>
        <v>B-BANK</v>
      </c>
      <c r="B52" s="9" t="s">
        <v>202</v>
      </c>
      <c r="C52" s="87" t="str">
        <f ca="1">IF(ISNA(VLOOKUP($B52,KeyAll,COLUMN(Key!$B$4),0))=TRUE,"no key!",VLOOKUP($B52,KeyAll,COLUMN(Key!$B$4),0))</f>
        <v>B3 Bank Account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</row>
    <row r="53" spans="1:15" ht="15" customHeight="1" x14ac:dyDescent="0.3">
      <c r="A53" s="87" t="str">
        <f ca="1">IF(ISNA(VLOOKUP($B53,KeyAll,COLUMN(Key!$C$4),0))=TRUE,"no key!",VLOOKUP($B53,KeyAll,COLUMN(Key!$C$4),0))</f>
        <v>B-CASH</v>
      </c>
      <c r="B53" s="9" t="s">
        <v>204</v>
      </c>
      <c r="C53" s="87" t="str">
        <f ca="1">IF(ISNA(VLOOKUP($B53,KeyAll,COLUMN(Key!$B$4),0))=TRUE,"no key!",VLOOKUP($B53,KeyAll,COLUMN(Key!$B$4),0))</f>
        <v>Petty Cash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</row>
    <row r="54" spans="1:15" ht="15" customHeight="1" x14ac:dyDescent="0.3">
      <c r="A54" s="87" t="str">
        <f ca="1">IF(ISNA(VLOOKUP($B54,KeyAll,COLUMN(Key!$C$4),0))=TRUE,"no key!",VLOOKUP($B54,KeyAll,COLUMN(Key!$C$4),0))</f>
        <v>B-DEBT</v>
      </c>
      <c r="B54" s="9" t="s">
        <v>205</v>
      </c>
      <c r="C54" s="87" t="str">
        <f ca="1">IF(ISNA(VLOOKUP($B54,KeyAll,COLUMN(Key!$B$4),0))=TRUE,"no key!",VLOOKUP($B54,KeyAll,COLUMN(Key!$B$4),0))</f>
        <v>Trade Debtors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</row>
    <row r="55" spans="1:15" ht="15" customHeight="1" x14ac:dyDescent="0.3">
      <c r="A55" s="87" t="str">
        <f ca="1">IF(ISNA(VLOOKUP($B55,KeyAll,COLUMN(Key!$C$4),0))=TRUE,"no key!",VLOOKUP($B55,KeyAll,COLUMN(Key!$C$4),0))</f>
        <v>B-CREDT</v>
      </c>
      <c r="B55" s="9" t="s">
        <v>206</v>
      </c>
      <c r="C55" s="87" t="str">
        <f ca="1">IF(ISNA(VLOOKUP($B55,KeyAll,COLUMN(Key!$B$4),0))=TRUE,"no key!",VLOOKUP($B55,KeyAll,COLUMN(Key!$B$4),0))</f>
        <v>Trade Creditors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1:15" ht="15" customHeight="1" x14ac:dyDescent="0.3">
      <c r="A56" s="87" t="str">
        <f ca="1">IF(ISNA(VLOOKUP($B56,KeyAll,COLUMN(Key!$C$4),0))=TRUE,"no key!",VLOOKUP($B56,KeyAll,COLUMN(Key!$C$4),0))</f>
        <v>B-INV</v>
      </c>
      <c r="B56" s="9" t="s">
        <v>207</v>
      </c>
      <c r="C56" s="87" t="str">
        <f ca="1">IF(ISNA(VLOOKUP($B56,KeyAll,COLUMN(Key!$B$4),0))=TRUE,"no key!",VLOOKUP($B56,KeyAll,COLUMN(Key!$B$4),0))</f>
        <v>Inventory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1:15" ht="15" customHeight="1" x14ac:dyDescent="0.3">
      <c r="A57" s="87" t="str">
        <f ca="1">IF(ISNA(VLOOKUP($B57,KeyAll,COLUMN(Key!$C$4),0))=TRUE,"no key!",VLOOKUP($B57,KeyAll,COLUMN(Key!$C$4),0))</f>
        <v>I-COS</v>
      </c>
      <c r="B57" s="9" t="s">
        <v>209</v>
      </c>
      <c r="C57" s="87" t="str">
        <f ca="1">IF(ISNA(VLOOKUP($B57,KeyAll,COLUMN(Key!$B$4),0))=TRUE,"no key!",VLOOKUP($B57,KeyAll,COLUMN(Key!$B$4),0))</f>
        <v>Inventory Movement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1:15" ht="15" customHeight="1" x14ac:dyDescent="0.3">
      <c r="A58" s="87" t="str">
        <f ca="1">IF(ISNA(VLOOKUP($B58,KeyAll,COLUMN(Key!$C$4),0))=TRUE,"no key!",VLOOKUP($B58,KeyAll,COLUMN(Key!$C$4),0))</f>
        <v>B-RET</v>
      </c>
      <c r="B58" s="9" t="s">
        <v>211</v>
      </c>
      <c r="C58" s="87" t="str">
        <f ca="1">IF(ISNA(VLOOKUP($B58,KeyAll,COLUMN(Key!$B$4),0))=TRUE,"no key!",VLOOKUP($B58,KeyAll,COLUMN(Key!$B$4),0))</f>
        <v>Retained Earnings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  <row r="60" spans="1:15" s="10" customFormat="1" ht="15" customHeight="1" x14ac:dyDescent="0.3">
      <c r="A60" s="13"/>
      <c r="B60" s="13"/>
      <c r="C60" s="13"/>
    </row>
  </sheetData>
  <conditionalFormatting sqref="D3:O3">
    <cfRule type="expression" dxfId="8" priority="2" stopIfTrue="1">
      <formula>ROUND(D3,2)&lt;&gt;0</formula>
    </cfRule>
  </conditionalFormatting>
  <conditionalFormatting sqref="A4">
    <cfRule type="expression" dxfId="7" priority="1" stopIfTrue="1">
      <formula>COUNTIF(ForClass,"no key!")&gt;0</formula>
    </cfRule>
  </conditionalFormatting>
  <pageMargins left="0.51181102362204722" right="0.51181102362204722" top="0.55118110236220474" bottom="0.55118110236220474" header="0.39370078740157483" footer="0.39370078740157483"/>
  <pageSetup paperSize="9" scale="59" fitToHeight="0" orientation="landscape" r:id="rId1"/>
  <headerFooter>
    <oddFooter>&amp;C&amp;9Page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0"/>
  <sheetViews>
    <sheetView zoomScale="95" zoomScaleNormal="95" workbookViewId="0">
      <pane ySplit="4" topLeftCell="A5" activePane="bottomLeft" state="frozen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5" width="12.73046875" style="35" customWidth="1"/>
    <col min="6" max="6" width="12.73046875" style="42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2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8" t="str">
        <f>'Set-up'!$B$4</f>
        <v>ABC Trading (Pty) Limited</v>
      </c>
    </row>
    <row r="2" spans="1:14" ht="15.95" customHeight="1" x14ac:dyDescent="0.35">
      <c r="B2" s="76" t="str">
        <f>"Income statement for the period ended "&amp;TEXT('Set-up'!$B$14,"dd mmmm yyyy")</f>
        <v>Income statement for the period ended 28 February 2017</v>
      </c>
    </row>
    <row r="3" spans="1:14" s="25" customFormat="1" ht="15.95" customHeight="1" x14ac:dyDescent="0.35">
      <c r="A3" s="22"/>
      <c r="B3" s="23" t="s">
        <v>128</v>
      </c>
      <c r="C3" s="107" t="s">
        <v>240</v>
      </c>
      <c r="D3" s="108"/>
      <c r="E3" s="108"/>
      <c r="F3" s="108"/>
      <c r="G3" s="109"/>
      <c r="I3" s="107" t="s">
        <v>234</v>
      </c>
      <c r="J3" s="108"/>
      <c r="K3" s="108"/>
      <c r="L3" s="108"/>
      <c r="M3" s="109"/>
      <c r="N3" s="24"/>
    </row>
    <row r="4" spans="1:14" s="21" customFormat="1" ht="15.95" customHeight="1" x14ac:dyDescent="0.3">
      <c r="A4" s="88"/>
      <c r="B4" s="18"/>
      <c r="C4" s="65" t="s">
        <v>134</v>
      </c>
      <c r="D4" s="65" t="s">
        <v>133</v>
      </c>
      <c r="E4" s="65" t="s">
        <v>135</v>
      </c>
      <c r="F4" s="66" t="s">
        <v>136</v>
      </c>
      <c r="G4" s="65" t="s">
        <v>249</v>
      </c>
      <c r="H4" s="3"/>
      <c r="I4" s="65" t="s">
        <v>134</v>
      </c>
      <c r="J4" s="65" t="s">
        <v>133</v>
      </c>
      <c r="K4" s="65" t="s">
        <v>135</v>
      </c>
      <c r="L4" s="66" t="s">
        <v>136</v>
      </c>
      <c r="M4" s="65" t="s">
        <v>249</v>
      </c>
      <c r="N4" s="20"/>
    </row>
    <row r="5" spans="1:14" ht="15" customHeight="1" x14ac:dyDescent="0.35">
      <c r="A5" s="19" t="s">
        <v>95</v>
      </c>
      <c r="B5" s="9" t="s">
        <v>4</v>
      </c>
      <c r="C5" s="37">
        <f ca="1">-IF(ISNA(MATCH('Set-up'!$B$14,ForMonths,0))=TRUE,0,SUMIF(ForAll,$A5&amp;"*",OFFSET(Forecast!$C$4,1,MATCH('Set-up'!$B$14,ForMonths,0),ForRowCount,1)))+IF(ISNA(MATCH('Set-up'!$B$14,ForMonths,0))=TRUE,0,SUMIF(ForAll,$A5&amp;"*",OFFSET(Forecast!$C$4,1,MATCH('Set-up'!$B$14,ForMonths,0)-1,ForRowCount,1)))</f>
        <v>0</v>
      </c>
      <c r="D5" s="37">
        <f ca="1">-IF(ISNA(MATCH('Set-up'!$B$14,TBMonths,0))=TRUE,0,SUMIF(TBAll,$A5&amp;"*",OFFSET(TBCY!$C$4,1,MATCH('Set-up'!$B$14,TBMonths,0),TBRowCount,1)))+IF(ISNA(MATCH('Set-up'!$B$14,TBMonths,0))=TRUE,0,SUMIF(TBAll,$A5&amp;"*",OFFSET(TBCY!$C$4,1,MATCH('Set-up'!$B$14,TBMonths,0)-1,TBRowCount,1)))</f>
        <v>0</v>
      </c>
      <c r="E5" s="35">
        <f ca="1">D5-C5</f>
        <v>0</v>
      </c>
      <c r="F5" s="42">
        <f ca="1">IF(C5=0,IF(E5=0,0,-1),E5/ABS(C5))</f>
        <v>0</v>
      </c>
      <c r="G5" s="37">
        <f ca="1">-IF(ISNA(MATCH('Set-up'!$B$16,PYMonths,0))=TRUE,0,SUMIF(PYAll,$A5&amp;"*",OFFSET(TBPY!$D$4,1,MATCH('Set-up'!$B$16,PYMonths,0),PYRowCount,1)))+IF(ISNA(MATCH('Set-up'!$B$16,PYMonths,0))=TRUE,0,SUMIF(PYAll,$A5&amp;"*",OFFSET(TBPY!$D$4,1,MATCH('Set-up'!$B$16,PYMonths,0)-1,PYRowCount,1)))</f>
        <v>0</v>
      </c>
      <c r="H5" s="89"/>
      <c r="I5" s="37">
        <f ca="1">-IF(ISNA(MATCH('Set-up'!$B$14,ForMonths,0))=TRUE,0,SUMIF(ForAll,$A5&amp;"*",OFFSET(Forecast!$C$4,1,MATCH('Set-up'!$B$14,ForMonths,0),ForRowCount,1)))</f>
        <v>0</v>
      </c>
      <c r="J5" s="37">
        <f ca="1">-IF(ISNA(MATCH('Set-up'!$B$14,TBMonths,0))=TRUE,0,SUMIF(TBAll,$A5&amp;"*",OFFSET(TBCY!$C$4,1,MATCH('Set-up'!$B$14,TBMonths,0),TBRowCount,1)))</f>
        <v>0</v>
      </c>
      <c r="K5" s="37">
        <f ca="1">J5-I5</f>
        <v>0</v>
      </c>
      <c r="L5" s="48">
        <f t="shared" ref="L5:L39" ca="1" si="0">IF(I5=0,IF(K5=0,0,-1),K5/ABS(I5))</f>
        <v>0</v>
      </c>
      <c r="M5" s="37">
        <f ca="1">-IF(ISNA(MATCH('Set-up'!$B$16,PYMonths,0))=TRUE,0,SUMIF(PYAll,$A5&amp;"*",OFFSET(TBPY!$D$4,1,MATCH('Set-up'!$B$16,PYMonths,0),PYRowCount,1)))</f>
        <v>0</v>
      </c>
    </row>
    <row r="6" spans="1:14" ht="15" customHeight="1" x14ac:dyDescent="0.35">
      <c r="A6" s="19" t="s">
        <v>97</v>
      </c>
      <c r="B6" s="9" t="s">
        <v>120</v>
      </c>
      <c r="C6" s="35">
        <f ca="1">IF(ISNA(MATCH('Set-up'!$B$14,ForMonths,0))=TRUE,0,SUMIF(ForAll,$A6&amp;"*",OFFSET(Forecast!$C$4,1,MATCH('Set-up'!$B$14,ForMonths,0),ForRowCount,1)))-IF(ISNA(MATCH('Set-up'!$B$14,ForMonths,0))=TRUE,0,SUMIF(ForAll,$A6&amp;"*",OFFSET(Forecast!$C$4,1,MATCH('Set-up'!$B$14,ForMonths,0)-1,ForRowCount,1)))</f>
        <v>0</v>
      </c>
      <c r="D6" s="35">
        <f ca="1">IF(ISNA(MATCH('Set-up'!$B$14,TBMonths,0))=TRUE,0,SUMIF(TBAll,$A6&amp;"*",OFFSET(TBCY!$C$4,1,MATCH('Set-up'!$B$14,TBMonths,0),TBRowCount,1)))-IF(ISNA(MATCH('Set-up'!$B$14,TBMonths,0))=TRUE,0,SUMIF(TBAll,$A6&amp;"*",OFFSET(TBCY!$C$4,1,MATCH('Set-up'!$B$14,TBMonths,0)-1,TBRowCount,1)))</f>
        <v>0</v>
      </c>
      <c r="E6" s="35">
        <f ca="1">C6-D6</f>
        <v>0</v>
      </c>
      <c r="F6" s="42">
        <f ca="1">IF(C6=0,IF(E6=0,0,-1),E6/ABS(C6))</f>
        <v>0</v>
      </c>
      <c r="G6" s="35">
        <f ca="1">IF(ISNA(MATCH('Set-up'!$B$16,PYMonths,0))=TRUE,0,SUMIF(PYAll,$A6&amp;"*",OFFSET(TBPY!$D$4,1,MATCH('Set-up'!$B$16,PYMonths,0),PYRowCount,1)))-IF(ISNA(MATCH('Set-up'!$B$16,PYMonths,0))=TRUE,0,SUMIF(PYAll,$A6&amp;"*",OFFSET(TBPY!$D$4,1,MATCH('Set-up'!$B$16,PYMonths,0)-1,PYRowCount,1)))</f>
        <v>0</v>
      </c>
      <c r="H6" s="89"/>
      <c r="I6" s="37">
        <f ca="1">IF(ISNA(MATCH('Set-up'!$B$14,ForMonths,0))=TRUE,0,SUMIF(ForAll,$A6&amp;"*",OFFSET(Forecast!$C$4,1,MATCH('Set-up'!$B$14,ForMonths,0),ForRowCount,1)))</f>
        <v>0</v>
      </c>
      <c r="J6" s="37">
        <f ca="1">IF(ISNA(MATCH('Set-up'!$B$14,TBMonths,0))=TRUE,0,SUMIF(TBAll,$A6&amp;"*",OFFSET(TBCY!$C$4,1,MATCH('Set-up'!$B$14,TBMonths,0),TBRowCount,1)))</f>
        <v>0</v>
      </c>
      <c r="K6" s="37">
        <f ca="1">I6-J6</f>
        <v>0</v>
      </c>
      <c r="L6" s="48">
        <f t="shared" ca="1" si="0"/>
        <v>0</v>
      </c>
      <c r="M6" s="37">
        <f ca="1">IF(ISNA(MATCH('Set-up'!$B$16,PYMonths,0))=TRUE,0,SUMIF(PYAll,$A6&amp;"*",OFFSET(TBPY!$D$4,1,MATCH('Set-up'!$B$16,PYMonths,0),PYRowCount,1)))</f>
        <v>0</v>
      </c>
    </row>
    <row r="7" spans="1:14" ht="15" customHeight="1" x14ac:dyDescent="0.35">
      <c r="B7" s="9" t="s">
        <v>119</v>
      </c>
      <c r="C7" s="38">
        <f ca="1">SUM(C5,-C6)</f>
        <v>0</v>
      </c>
      <c r="D7" s="38">
        <f ca="1">SUM(D5,-D6)</f>
        <v>0</v>
      </c>
      <c r="E7" s="38">
        <f ca="1">SUM(E5:E6)</f>
        <v>0</v>
      </c>
      <c r="F7" s="43">
        <f ca="1">IF(C7=0,IF(E7=0,0,-1),E7/ABS(C7))</f>
        <v>0</v>
      </c>
      <c r="G7" s="38">
        <f ca="1">SUM(G5,-G6)</f>
        <v>0</v>
      </c>
      <c r="H7" s="89"/>
      <c r="I7" s="38">
        <f ca="1">SUM(I5,-I6)</f>
        <v>0</v>
      </c>
      <c r="J7" s="38">
        <f ca="1">SUM(J5,-J6)</f>
        <v>0</v>
      </c>
      <c r="K7" s="38">
        <f ca="1">SUM(K5:K6)</f>
        <v>0</v>
      </c>
      <c r="L7" s="43">
        <f t="shared" ca="1" si="0"/>
        <v>0</v>
      </c>
      <c r="M7" s="38">
        <f ca="1">SUM(M5,-M6)</f>
        <v>0</v>
      </c>
    </row>
    <row r="8" spans="1:14" s="28" customFormat="1" ht="15" customHeight="1" x14ac:dyDescent="0.35">
      <c r="A8" s="26"/>
      <c r="B8" s="27" t="s">
        <v>137</v>
      </c>
      <c r="C8" s="44">
        <f ca="1">IF(C5=0,0,C7/C5)</f>
        <v>0</v>
      </c>
      <c r="D8" s="44">
        <f ca="1">IF(D5=0,0,D7/D5)</f>
        <v>0</v>
      </c>
      <c r="E8" s="44">
        <f ca="1">D8-C8</f>
        <v>0</v>
      </c>
      <c r="F8" s="44"/>
      <c r="G8" s="44">
        <f ca="1">IF(G5=0,0,G7/G5)</f>
        <v>0</v>
      </c>
      <c r="H8" s="90"/>
      <c r="I8" s="49">
        <f ca="1">IF(I5=0,0,I7/I5)</f>
        <v>0</v>
      </c>
      <c r="J8" s="49">
        <f ca="1">IF(J5=0,0,J7/J5)</f>
        <v>0</v>
      </c>
      <c r="K8" s="49">
        <f ca="1">J8-I8</f>
        <v>0</v>
      </c>
      <c r="L8" s="49"/>
      <c r="M8" s="49">
        <f ca="1">IF(M5=0,0,M7/M5)</f>
        <v>0</v>
      </c>
    </row>
    <row r="9" spans="1:14" ht="15" customHeight="1" x14ac:dyDescent="0.35">
      <c r="A9" s="19" t="s">
        <v>96</v>
      </c>
      <c r="B9" s="9" t="s">
        <v>5</v>
      </c>
      <c r="C9" s="35">
        <f ca="1">-IF(ISNA(MATCH('Set-up'!$B$14,ForMonths,0))=TRUE,0,SUMIF(ForAll,$A9&amp;"*",OFFSET(Forecast!$C$4,1,MATCH('Set-up'!$B$14,ForMonths,0),ForRowCount,1)))+IF(ISNA(MATCH('Set-up'!$B$14,ForMonths,0))=TRUE,0,SUMIF(ForAll,$A9&amp;"*",OFFSET(Forecast!$C$4,1,MATCH('Set-up'!$B$14,ForMonths,0)-1,ForRowCount,1)))</f>
        <v>0</v>
      </c>
      <c r="D9" s="35">
        <f ca="1">-IF(ISNA(MATCH('Set-up'!$B$14,TBMonths,0))=TRUE,0,SUMIF(TBAll,$A9&amp;"*",OFFSET(TBCY!$C$4,1,MATCH('Set-up'!$B$14,TBMonths,0),TBRowCount,1)))+IF(ISNA(MATCH('Set-up'!$B$14,TBMonths,0))=TRUE,0,SUMIF(TBAll,$A9&amp;"*",OFFSET(TBCY!$C$4,1,MATCH('Set-up'!$B$14,TBMonths,0)-1,TBRowCount,1)))</f>
        <v>0</v>
      </c>
      <c r="E9" s="35">
        <f ca="1">D9-C9</f>
        <v>0</v>
      </c>
      <c r="F9" s="42">
        <f t="shared" ref="F9:F39" ca="1" si="1">IF(C9=0,IF(E9=0,0,-1),E9/ABS(C9))</f>
        <v>0</v>
      </c>
      <c r="G9" s="35">
        <f ca="1">-IF(ISNA(MATCH('Set-up'!$B$16,PYMonths,0))=TRUE,0,SUMIF(PYAll,$A9&amp;"*",OFFSET(TBPY!$D$4,1,MATCH('Set-up'!$B$16,PYMonths,0),PYRowCount,1)))+IF(ISNA(MATCH('Set-up'!$B$16,PYMonths,0))=TRUE,0,SUMIF(PYAll,$A9&amp;"*",OFFSET(TBPY!$D$4,1,MATCH('Set-up'!$B$16,PYMonths,0)-1,PYRowCount,1)))</f>
        <v>0</v>
      </c>
      <c r="H9" s="89"/>
      <c r="I9" s="37">
        <f ca="1">-IF(ISNA(MATCH('Set-up'!$B$14,ForMonths,0))=TRUE,0,SUMIF(ForAll,$A9&amp;"*",OFFSET(Forecast!$C$4,1,MATCH('Set-up'!$B$14,ForMonths,0),ForRowCount,1)))</f>
        <v>0</v>
      </c>
      <c r="J9" s="37">
        <f ca="1">-IF(ISNA(MATCH('Set-up'!$B$14,TBMonths,0))=TRUE,0,SUMIF(TBAll,$A9&amp;"*",OFFSET(TBCY!$C$4,1,MATCH('Set-up'!$B$14,TBMonths,0),TBRowCount,1)))</f>
        <v>0</v>
      </c>
      <c r="K9" s="37">
        <f ca="1">J9-I9</f>
        <v>0</v>
      </c>
      <c r="L9" s="48">
        <f t="shared" ca="1" si="0"/>
        <v>0</v>
      </c>
      <c r="M9" s="37">
        <f ca="1">-IF(ISNA(MATCH('Set-up'!$B$16,PYMonths,0))=TRUE,0,SUMIF(PYAll,$A9&amp;"*",OFFSET(TBPY!$D$4,1,MATCH('Set-up'!$B$16,PYMonths,0),PYRowCount,1)))</f>
        <v>0</v>
      </c>
    </row>
    <row r="10" spans="1:14" ht="15" customHeight="1" x14ac:dyDescent="0.35">
      <c r="B10" s="9" t="s">
        <v>138</v>
      </c>
      <c r="C10" s="35">
        <f ca="1">SUM(OFFSET($B$10,1,COLUMN(C4)-COLUMN($B4),ROW($B$32)-ROW($B$10)-1,1))</f>
        <v>0</v>
      </c>
      <c r="D10" s="35">
        <f ca="1">SUM(OFFSET($B$10,1,COLUMN(D4)-COLUMN($B4),ROW($B$32)-ROW($B$10)-1,1))</f>
        <v>0</v>
      </c>
      <c r="E10" s="35">
        <f t="shared" ref="E10:E31" ca="1" si="2">C10-D10</f>
        <v>0</v>
      </c>
      <c r="F10" s="42">
        <f t="shared" ca="1" si="1"/>
        <v>0</v>
      </c>
      <c r="G10" s="35">
        <f ca="1">SUM(OFFSET($B$10,1,COLUMN(G4)-COLUMN($B4),ROW($B$32)-ROW($B$10)-1,1))</f>
        <v>0</v>
      </c>
      <c r="H10" s="89"/>
      <c r="I10" s="37">
        <f ca="1">SUM(OFFSET($B$10,1,COLUMN(I4)-COLUMN($B4),ROW($B$32)-ROW($B$10)-1,1))</f>
        <v>0</v>
      </c>
      <c r="J10" s="37">
        <f ca="1">SUM(OFFSET($B$10,1,COLUMN(J4)-COLUMN($B4),ROW($B$32)-ROW($B$10)-1,1))</f>
        <v>0</v>
      </c>
      <c r="K10" s="37">
        <f t="shared" ref="K10:K31" ca="1" si="3">I10-J10</f>
        <v>0</v>
      </c>
      <c r="L10" s="48">
        <f t="shared" ca="1" si="0"/>
        <v>0</v>
      </c>
      <c r="M10" s="37">
        <f ca="1">SUM(OFFSET($B$10,1,COLUMN(M4)-COLUMN($B4),ROW($B$32)-ROW($B$10)-1,1))</f>
        <v>0</v>
      </c>
    </row>
    <row r="11" spans="1:14" ht="15" customHeight="1" x14ac:dyDescent="0.35">
      <c r="A11" s="19" t="s">
        <v>212</v>
      </c>
      <c r="B11" s="9" t="str">
        <f ca="1">IF(ISNA(VLOOKUP($A11,TBAll,COLUMN(TBCY!$C$4),0))=TRUE,"error!",VLOOKUP($A11,TBAll,COLUMN(TBCY!$C$4),0))</f>
        <v>Accounting Fees</v>
      </c>
      <c r="C11" s="39">
        <f ca="1">IF(ISNA(MATCH('Set-up'!$B$14,ForMonths,0))=TRUE,0,SUMIF(ForAll,$A11&amp;"*",OFFSET(Forecast!$C$4,1,MATCH('Set-up'!$B$14,ForMonths,0),ForRowCount,1)))-IF(ISNA(MATCH('Set-up'!$B$14,ForMonths,0))=TRUE,0,SUMIF(ForAll,$A11&amp;"*",OFFSET(Forecast!$C$4,1,MATCH('Set-up'!$B$14,ForMonths,0)-1,ForRowCount,1)))</f>
        <v>0</v>
      </c>
      <c r="D11" s="39">
        <f ca="1">IF(ISNA(MATCH('Set-up'!$B$14,TBMonths,0))=TRUE,0,SUMIF(TBAll,$A11&amp;"*",OFFSET(TBCY!$C$4,1,MATCH('Set-up'!$B$14,TBMonths,0),TBRowCount,1)))-IF(ISNA(MATCH('Set-up'!$B$14,TBMonths,0))=TRUE,0,SUMIF(TBAll,$A11&amp;"*",OFFSET(TBCY!$C$4,1,MATCH('Set-up'!$B$14,TBMonths,0)-1,TBRowCount,1)))</f>
        <v>0</v>
      </c>
      <c r="E11" s="39">
        <f t="shared" ca="1" si="2"/>
        <v>0</v>
      </c>
      <c r="F11" s="45">
        <f t="shared" ca="1" si="1"/>
        <v>0</v>
      </c>
      <c r="G11" s="39">
        <f ca="1">IF(ISNA(MATCH('Set-up'!$B$16,PYMonths,0))=TRUE,0,SUMIF(PYAll,$A11&amp;"*",OFFSET(TBPY!$D$4,1,MATCH('Set-up'!$B$16,PYMonths,0),PYRowCount,1)))-IF(ISNA(MATCH('Set-up'!$B$16,PYMonths,0))=TRUE,0,SUMIF(PYAll,$A11&amp;"*",OFFSET(TBPY!$D$4,1,MATCH('Set-up'!$B$16,PYMonths,0)-1,PYRowCount,1)))</f>
        <v>0</v>
      </c>
      <c r="I11" s="39">
        <f ca="1">IF(ISNA(MATCH('Set-up'!$B$14,ForMonths,0))=TRUE,0,SUMIF(ForAll,$A11&amp;"*",OFFSET(Forecast!$C$4,1,MATCH('Set-up'!$B$14,ForMonths,0),ForRowCount,1)))</f>
        <v>0</v>
      </c>
      <c r="J11" s="39">
        <f ca="1">IF(ISNA(MATCH('Set-up'!$B$14,TBMonths,0))=TRUE,0,SUMIF(TBAll,$A11&amp;"*",OFFSET(TBCY!$C$4,1,MATCH('Set-up'!$B$14,TBMonths,0),TBRowCount,1)))</f>
        <v>0</v>
      </c>
      <c r="K11" s="39">
        <f t="shared" ca="1" si="3"/>
        <v>0</v>
      </c>
      <c r="L11" s="45">
        <f t="shared" ca="1" si="0"/>
        <v>0</v>
      </c>
      <c r="M11" s="39">
        <f ca="1">IF(ISNA(MATCH('Set-up'!$B$16,PYMonths,0))=TRUE,0,SUMIF(PYAll,$A11&amp;"*",OFFSET(TBPY!$D$4,1,MATCH('Set-up'!$B$16,PYMonths,0),PYRowCount,1)))</f>
        <v>0</v>
      </c>
    </row>
    <row r="12" spans="1:14" ht="15" customHeight="1" x14ac:dyDescent="0.35">
      <c r="A12" s="19" t="s">
        <v>218</v>
      </c>
      <c r="B12" s="9" t="str">
        <f ca="1">IF(ISNA(VLOOKUP($A12,TBAll,COLUMN(TBCY!$C$4),0))=TRUE,"error!",VLOOKUP($A12,TBAll,COLUMN(TBCY!$C$4),0))</f>
        <v>Advertising &amp; Marketing</v>
      </c>
      <c r="C12" s="40">
        <f ca="1">IF(ISNA(MATCH('Set-up'!$B$14,ForMonths,0))=TRUE,0,SUMIF(ForAll,$A12&amp;"*",OFFSET(Forecast!$C$4,1,MATCH('Set-up'!$B$14,ForMonths,0),ForRowCount,1)))-IF(ISNA(MATCH('Set-up'!$B$14,ForMonths,0))=TRUE,0,SUMIF(ForAll,$A12&amp;"*",OFFSET(Forecast!$C$4,1,MATCH('Set-up'!$B$14,ForMonths,0)-1,ForRowCount,1)))</f>
        <v>0</v>
      </c>
      <c r="D12" s="40">
        <f ca="1">IF(ISNA(MATCH('Set-up'!$B$14,TBMonths,0))=TRUE,0,SUMIF(TBAll,$A12&amp;"*",OFFSET(TBCY!$C$4,1,MATCH('Set-up'!$B$14,TBMonths,0),TBRowCount,1)))-IF(ISNA(MATCH('Set-up'!$B$14,TBMonths,0))=TRUE,0,SUMIF(TBAll,$A12&amp;"*",OFFSET(TBCY!$C$4,1,MATCH('Set-up'!$B$14,TBMonths,0)-1,TBRowCount,1)))</f>
        <v>0</v>
      </c>
      <c r="E12" s="40">
        <f t="shared" ca="1" si="2"/>
        <v>0</v>
      </c>
      <c r="F12" s="46">
        <f t="shared" ca="1" si="1"/>
        <v>0</v>
      </c>
      <c r="G12" s="40">
        <f ca="1">IF(ISNA(MATCH('Set-up'!$B$16,PYMonths,0))=TRUE,0,SUMIF(PYAll,$A12&amp;"*",OFFSET(TBPY!$D$4,1,MATCH('Set-up'!$B$16,PYMonths,0),PYRowCount,1)))-IF(ISNA(MATCH('Set-up'!$B$16,PYMonths,0))=TRUE,0,SUMIF(PYAll,$A12&amp;"*",OFFSET(TBPY!$D$4,1,MATCH('Set-up'!$B$16,PYMonths,0)-1,PYRowCount,1)))</f>
        <v>0</v>
      </c>
      <c r="I12" s="40">
        <f ca="1">IF(ISNA(MATCH('Set-up'!$B$14,ForMonths,0))=TRUE,0,SUMIF(ForAll,$A12&amp;"*",OFFSET(Forecast!$C$4,1,MATCH('Set-up'!$B$14,ForMonths,0),ForRowCount,1)))</f>
        <v>0</v>
      </c>
      <c r="J12" s="40">
        <f ca="1">IF(ISNA(MATCH('Set-up'!$B$14,TBMonths,0))=TRUE,0,SUMIF(TBAll,$A12&amp;"*",OFFSET(TBCY!$C$4,1,MATCH('Set-up'!$B$14,TBMonths,0),TBRowCount,1)))</f>
        <v>0</v>
      </c>
      <c r="K12" s="40">
        <f t="shared" ca="1" si="3"/>
        <v>0</v>
      </c>
      <c r="L12" s="46">
        <f t="shared" ca="1" si="0"/>
        <v>0</v>
      </c>
      <c r="M12" s="40">
        <f ca="1">IF(ISNA(MATCH('Set-up'!$B$16,PYMonths,0))=TRUE,0,SUMIF(PYAll,$A12&amp;"*",OFFSET(TBPY!$D$4,1,MATCH('Set-up'!$B$16,PYMonths,0),PYRowCount,1)))</f>
        <v>0</v>
      </c>
    </row>
    <row r="13" spans="1:14" ht="15" customHeight="1" x14ac:dyDescent="0.35">
      <c r="A13" s="19" t="s">
        <v>213</v>
      </c>
      <c r="B13" s="9" t="str">
        <f ca="1">IF(ISNA(VLOOKUP($A13,TBAll,COLUMN(TBCY!$C$4),0))=TRUE,"error!",VLOOKUP($A13,TBAll,COLUMN(TBCY!$C$4),0))</f>
        <v>Bank Charges</v>
      </c>
      <c r="C13" s="40">
        <f ca="1">IF(ISNA(MATCH('Set-up'!$B$14,ForMonths,0))=TRUE,0,SUMIF(ForAll,$A13&amp;"*",OFFSET(Forecast!$C$4,1,MATCH('Set-up'!$B$14,ForMonths,0),ForRowCount,1)))-IF(ISNA(MATCH('Set-up'!$B$14,ForMonths,0))=TRUE,0,SUMIF(ForAll,$A13&amp;"*",OFFSET(Forecast!$C$4,1,MATCH('Set-up'!$B$14,ForMonths,0)-1,ForRowCount,1)))</f>
        <v>0</v>
      </c>
      <c r="D13" s="40">
        <f ca="1">IF(ISNA(MATCH('Set-up'!$B$14,TBMonths,0))=TRUE,0,SUMIF(TBAll,$A13&amp;"*",OFFSET(TBCY!$C$4,1,MATCH('Set-up'!$B$14,TBMonths,0),TBRowCount,1)))-IF(ISNA(MATCH('Set-up'!$B$14,TBMonths,0))=TRUE,0,SUMIF(TBAll,$A13&amp;"*",OFFSET(TBCY!$C$4,1,MATCH('Set-up'!$B$14,TBMonths,0)-1,TBRowCount,1)))</f>
        <v>0</v>
      </c>
      <c r="E13" s="40">
        <f t="shared" ca="1" si="2"/>
        <v>0</v>
      </c>
      <c r="F13" s="46">
        <f t="shared" ca="1" si="1"/>
        <v>0</v>
      </c>
      <c r="G13" s="40">
        <f ca="1">IF(ISNA(MATCH('Set-up'!$B$16,PYMonths,0))=TRUE,0,SUMIF(PYAll,$A13&amp;"*",OFFSET(TBPY!$D$4,1,MATCH('Set-up'!$B$16,PYMonths,0),PYRowCount,1)))-IF(ISNA(MATCH('Set-up'!$B$16,PYMonths,0))=TRUE,0,SUMIF(PYAll,$A13&amp;"*",OFFSET(TBPY!$D$4,1,MATCH('Set-up'!$B$16,PYMonths,0)-1,PYRowCount,1)))</f>
        <v>0</v>
      </c>
      <c r="I13" s="40">
        <f ca="1">IF(ISNA(MATCH('Set-up'!$B$14,ForMonths,0))=TRUE,0,SUMIF(ForAll,$A13&amp;"*",OFFSET(Forecast!$C$4,1,MATCH('Set-up'!$B$14,ForMonths,0),ForRowCount,1)))</f>
        <v>0</v>
      </c>
      <c r="J13" s="40">
        <f ca="1">IF(ISNA(MATCH('Set-up'!$B$14,TBMonths,0))=TRUE,0,SUMIF(TBAll,$A13&amp;"*",OFFSET(TBCY!$C$4,1,MATCH('Set-up'!$B$14,TBMonths,0),TBRowCount,1)))</f>
        <v>0</v>
      </c>
      <c r="K13" s="40">
        <f t="shared" ca="1" si="3"/>
        <v>0</v>
      </c>
      <c r="L13" s="46">
        <f t="shared" ca="1" si="0"/>
        <v>0</v>
      </c>
      <c r="M13" s="40">
        <f ca="1">IF(ISNA(MATCH('Set-up'!$B$16,PYMonths,0))=TRUE,0,SUMIF(PYAll,$A13&amp;"*",OFFSET(TBPY!$D$4,1,MATCH('Set-up'!$B$16,PYMonths,0),PYRowCount,1)))</f>
        <v>0</v>
      </c>
    </row>
    <row r="14" spans="1:14" ht="15" customHeight="1" x14ac:dyDescent="0.35">
      <c r="A14" s="19" t="s">
        <v>214</v>
      </c>
      <c r="B14" s="9" t="str">
        <f ca="1">IF(ISNA(VLOOKUP($A14,TBAll,COLUMN(TBCY!$C$4),0))=TRUE,"error!",VLOOKUP($A14,TBAll,COLUMN(TBCY!$C$4),0))</f>
        <v>Commission</v>
      </c>
      <c r="C14" s="40">
        <f ca="1">IF(ISNA(MATCH('Set-up'!$B$14,ForMonths,0))=TRUE,0,SUMIF(ForAll,$A14&amp;"*",OFFSET(Forecast!$C$4,1,MATCH('Set-up'!$B$14,ForMonths,0),ForRowCount,1)))-IF(ISNA(MATCH('Set-up'!$B$14,ForMonths,0))=TRUE,0,SUMIF(ForAll,$A14&amp;"*",OFFSET(Forecast!$C$4,1,MATCH('Set-up'!$B$14,ForMonths,0)-1,ForRowCount,1)))</f>
        <v>0</v>
      </c>
      <c r="D14" s="40">
        <f ca="1">IF(ISNA(MATCH('Set-up'!$B$14,TBMonths,0))=TRUE,0,SUMIF(TBAll,$A14&amp;"*",OFFSET(TBCY!$C$4,1,MATCH('Set-up'!$B$14,TBMonths,0),TBRowCount,1)))-IF(ISNA(MATCH('Set-up'!$B$14,TBMonths,0))=TRUE,0,SUMIF(TBAll,$A14&amp;"*",OFFSET(TBCY!$C$4,1,MATCH('Set-up'!$B$14,TBMonths,0)-1,TBRowCount,1)))</f>
        <v>0</v>
      </c>
      <c r="E14" s="40">
        <f t="shared" ca="1" si="2"/>
        <v>0</v>
      </c>
      <c r="F14" s="46">
        <f t="shared" ca="1" si="1"/>
        <v>0</v>
      </c>
      <c r="G14" s="40">
        <f ca="1">IF(ISNA(MATCH('Set-up'!$B$16,PYMonths,0))=TRUE,0,SUMIF(PYAll,$A14&amp;"*",OFFSET(TBPY!$D$4,1,MATCH('Set-up'!$B$16,PYMonths,0),PYRowCount,1)))-IF(ISNA(MATCH('Set-up'!$B$16,PYMonths,0))=TRUE,0,SUMIF(PYAll,$A14&amp;"*",OFFSET(TBPY!$D$4,1,MATCH('Set-up'!$B$16,PYMonths,0)-1,PYRowCount,1)))</f>
        <v>0</v>
      </c>
      <c r="I14" s="40">
        <f ca="1">IF(ISNA(MATCH('Set-up'!$B$14,ForMonths,0))=TRUE,0,SUMIF(ForAll,$A14&amp;"*",OFFSET(Forecast!$C$4,1,MATCH('Set-up'!$B$14,ForMonths,0),ForRowCount,1)))</f>
        <v>0</v>
      </c>
      <c r="J14" s="40">
        <f ca="1">IF(ISNA(MATCH('Set-up'!$B$14,TBMonths,0))=TRUE,0,SUMIF(TBAll,$A14&amp;"*",OFFSET(TBCY!$C$4,1,MATCH('Set-up'!$B$14,TBMonths,0),TBRowCount,1)))</f>
        <v>0</v>
      </c>
      <c r="K14" s="40">
        <f t="shared" ca="1" si="3"/>
        <v>0</v>
      </c>
      <c r="L14" s="46">
        <f t="shared" ca="1" si="0"/>
        <v>0</v>
      </c>
      <c r="M14" s="40">
        <f ca="1">IF(ISNA(MATCH('Set-up'!$B$16,PYMonths,0))=TRUE,0,SUMIF(PYAll,$A14&amp;"*",OFFSET(TBPY!$D$4,1,MATCH('Set-up'!$B$16,PYMonths,0),PYRowCount,1)))</f>
        <v>0</v>
      </c>
    </row>
    <row r="15" spans="1:14" ht="15" customHeight="1" x14ac:dyDescent="0.35">
      <c r="A15" s="19" t="s">
        <v>215</v>
      </c>
      <c r="B15" s="9" t="str">
        <f ca="1">IF(ISNA(VLOOKUP($A15,TBAll,COLUMN(TBCY!$C$4),0))=TRUE,"error!",VLOOKUP($A15,TBAll,COLUMN(TBCY!$C$4),0))</f>
        <v>Computer Expenses</v>
      </c>
      <c r="C15" s="40">
        <f ca="1">IF(ISNA(MATCH('Set-up'!$B$14,ForMonths,0))=TRUE,0,SUMIF(ForAll,$A15&amp;"*",OFFSET(Forecast!$C$4,1,MATCH('Set-up'!$B$14,ForMonths,0),ForRowCount,1)))-IF(ISNA(MATCH('Set-up'!$B$14,ForMonths,0))=TRUE,0,SUMIF(ForAll,$A15&amp;"*",OFFSET(Forecast!$C$4,1,MATCH('Set-up'!$B$14,ForMonths,0)-1,ForRowCount,1)))</f>
        <v>0</v>
      </c>
      <c r="D15" s="40">
        <f ca="1">IF(ISNA(MATCH('Set-up'!$B$14,TBMonths,0))=TRUE,0,SUMIF(TBAll,$A15&amp;"*",OFFSET(TBCY!$C$4,1,MATCH('Set-up'!$B$14,TBMonths,0),TBRowCount,1)))-IF(ISNA(MATCH('Set-up'!$B$14,TBMonths,0))=TRUE,0,SUMIF(TBAll,$A15&amp;"*",OFFSET(TBCY!$C$4,1,MATCH('Set-up'!$B$14,TBMonths,0)-1,TBRowCount,1)))</f>
        <v>0</v>
      </c>
      <c r="E15" s="40">
        <f t="shared" ca="1" si="2"/>
        <v>0</v>
      </c>
      <c r="F15" s="46">
        <f t="shared" ca="1" si="1"/>
        <v>0</v>
      </c>
      <c r="G15" s="40">
        <f ca="1">IF(ISNA(MATCH('Set-up'!$B$16,PYMonths,0))=TRUE,0,SUMIF(PYAll,$A15&amp;"*",OFFSET(TBPY!$D$4,1,MATCH('Set-up'!$B$16,PYMonths,0),PYRowCount,1)))-IF(ISNA(MATCH('Set-up'!$B$16,PYMonths,0))=TRUE,0,SUMIF(PYAll,$A15&amp;"*",OFFSET(TBPY!$D$4,1,MATCH('Set-up'!$B$16,PYMonths,0)-1,PYRowCount,1)))</f>
        <v>0</v>
      </c>
      <c r="I15" s="40">
        <f ca="1">IF(ISNA(MATCH('Set-up'!$B$14,ForMonths,0))=TRUE,0,SUMIF(ForAll,$A15&amp;"*",OFFSET(Forecast!$C$4,1,MATCH('Set-up'!$B$14,ForMonths,0),ForRowCount,1)))</f>
        <v>0</v>
      </c>
      <c r="J15" s="40">
        <f ca="1">IF(ISNA(MATCH('Set-up'!$B$14,TBMonths,0))=TRUE,0,SUMIF(TBAll,$A15&amp;"*",OFFSET(TBCY!$C$4,1,MATCH('Set-up'!$B$14,TBMonths,0),TBRowCount,1)))</f>
        <v>0</v>
      </c>
      <c r="K15" s="40">
        <f t="shared" ca="1" si="3"/>
        <v>0</v>
      </c>
      <c r="L15" s="46">
        <f t="shared" ca="1" si="0"/>
        <v>0</v>
      </c>
      <c r="M15" s="40">
        <f ca="1">IF(ISNA(MATCH('Set-up'!$B$16,PYMonths,0))=TRUE,0,SUMIF(PYAll,$A15&amp;"*",OFFSET(TBPY!$D$4,1,MATCH('Set-up'!$B$16,PYMonths,0),PYRowCount,1)))</f>
        <v>0</v>
      </c>
    </row>
    <row r="16" spans="1:14" ht="15" customHeight="1" x14ac:dyDescent="0.35">
      <c r="A16" s="19" t="s">
        <v>216</v>
      </c>
      <c r="B16" s="9" t="str">
        <f ca="1">IF(ISNA(VLOOKUP($A16,TBAll,COLUMN(TBCY!$C$4),0))=TRUE,"error!",VLOOKUP($A16,TBAll,COLUMN(TBCY!$C$4),0))</f>
        <v>Consumables &amp; Cleaning</v>
      </c>
      <c r="C16" s="40">
        <f ca="1">IF(ISNA(MATCH('Set-up'!$B$14,ForMonths,0))=TRUE,0,SUMIF(ForAll,$A16&amp;"*",OFFSET(Forecast!$C$4,1,MATCH('Set-up'!$B$14,ForMonths,0),ForRowCount,1)))-IF(ISNA(MATCH('Set-up'!$B$14,ForMonths,0))=TRUE,0,SUMIF(ForAll,$A16&amp;"*",OFFSET(Forecast!$C$4,1,MATCH('Set-up'!$B$14,ForMonths,0)-1,ForRowCount,1)))</f>
        <v>0</v>
      </c>
      <c r="D16" s="40">
        <f ca="1">IF(ISNA(MATCH('Set-up'!$B$14,TBMonths,0))=TRUE,0,SUMIF(TBAll,$A16&amp;"*",OFFSET(TBCY!$C$4,1,MATCH('Set-up'!$B$14,TBMonths,0),TBRowCount,1)))-IF(ISNA(MATCH('Set-up'!$B$14,TBMonths,0))=TRUE,0,SUMIF(TBAll,$A16&amp;"*",OFFSET(TBCY!$C$4,1,MATCH('Set-up'!$B$14,TBMonths,0)-1,TBRowCount,1)))</f>
        <v>0</v>
      </c>
      <c r="E16" s="40">
        <f t="shared" ca="1" si="2"/>
        <v>0</v>
      </c>
      <c r="F16" s="46">
        <f t="shared" ca="1" si="1"/>
        <v>0</v>
      </c>
      <c r="G16" s="40">
        <f ca="1">IF(ISNA(MATCH('Set-up'!$B$16,PYMonths,0))=TRUE,0,SUMIF(PYAll,$A16&amp;"*",OFFSET(TBPY!$D$4,1,MATCH('Set-up'!$B$16,PYMonths,0),PYRowCount,1)))-IF(ISNA(MATCH('Set-up'!$B$16,PYMonths,0))=TRUE,0,SUMIF(PYAll,$A16&amp;"*",OFFSET(TBPY!$D$4,1,MATCH('Set-up'!$B$16,PYMonths,0)-1,PYRowCount,1)))</f>
        <v>0</v>
      </c>
      <c r="I16" s="40">
        <f ca="1">IF(ISNA(MATCH('Set-up'!$B$14,ForMonths,0))=TRUE,0,SUMIF(ForAll,$A16&amp;"*",OFFSET(Forecast!$C$4,1,MATCH('Set-up'!$B$14,ForMonths,0),ForRowCount,1)))</f>
        <v>0</v>
      </c>
      <c r="J16" s="40">
        <f ca="1">IF(ISNA(MATCH('Set-up'!$B$14,TBMonths,0))=TRUE,0,SUMIF(TBAll,$A16&amp;"*",OFFSET(TBCY!$C$4,1,MATCH('Set-up'!$B$14,TBMonths,0),TBRowCount,1)))</f>
        <v>0</v>
      </c>
      <c r="K16" s="40">
        <f t="shared" ca="1" si="3"/>
        <v>0</v>
      </c>
      <c r="L16" s="46">
        <f t="shared" ca="1" si="0"/>
        <v>0</v>
      </c>
      <c r="M16" s="40">
        <f ca="1">IF(ISNA(MATCH('Set-up'!$B$16,PYMonths,0))=TRUE,0,SUMIF(PYAll,$A16&amp;"*",OFFSET(TBPY!$D$4,1,MATCH('Set-up'!$B$16,PYMonths,0),PYRowCount,1)))</f>
        <v>0</v>
      </c>
    </row>
    <row r="17" spans="1:13" ht="15" customHeight="1" x14ac:dyDescent="0.35">
      <c r="A17" s="19" t="s">
        <v>217</v>
      </c>
      <c r="B17" s="9" t="str">
        <f ca="1">IF(ISNA(VLOOKUP($A17,TBAll,COLUMN(TBCY!$C$4),0))=TRUE,"error!",VLOOKUP($A17,TBAll,COLUMN(TBCY!$C$4),0))</f>
        <v>Depreciation</v>
      </c>
      <c r="C17" s="40">
        <f ca="1">IF(ISNA(MATCH('Set-up'!$B$14,ForMonths,0))=TRUE,0,SUMIF(ForAll,$A17&amp;"*",OFFSET(Forecast!$C$4,1,MATCH('Set-up'!$B$14,ForMonths,0),ForRowCount,1)))-IF(ISNA(MATCH('Set-up'!$B$14,ForMonths,0))=TRUE,0,SUMIF(ForAll,$A17&amp;"*",OFFSET(Forecast!$C$4,1,MATCH('Set-up'!$B$14,ForMonths,0)-1,ForRowCount,1)))</f>
        <v>0</v>
      </c>
      <c r="D17" s="40">
        <f ca="1">IF(ISNA(MATCH('Set-up'!$B$14,TBMonths,0))=TRUE,0,SUMIF(TBAll,$A17&amp;"*",OFFSET(TBCY!$C$4,1,MATCH('Set-up'!$B$14,TBMonths,0),TBRowCount,1)))-IF(ISNA(MATCH('Set-up'!$B$14,TBMonths,0))=TRUE,0,SUMIF(TBAll,$A17&amp;"*",OFFSET(TBCY!$C$4,1,MATCH('Set-up'!$B$14,TBMonths,0)-1,TBRowCount,1)))</f>
        <v>0</v>
      </c>
      <c r="E17" s="40">
        <f t="shared" ca="1" si="2"/>
        <v>0</v>
      </c>
      <c r="F17" s="46">
        <f t="shared" ca="1" si="1"/>
        <v>0</v>
      </c>
      <c r="G17" s="40">
        <f ca="1">IF(ISNA(MATCH('Set-up'!$B$16,PYMonths,0))=TRUE,0,SUMIF(PYAll,$A17&amp;"*",OFFSET(TBPY!$D$4,1,MATCH('Set-up'!$B$16,PYMonths,0),PYRowCount,1)))-IF(ISNA(MATCH('Set-up'!$B$16,PYMonths,0))=TRUE,0,SUMIF(PYAll,$A17&amp;"*",OFFSET(TBPY!$D$4,1,MATCH('Set-up'!$B$16,PYMonths,0)-1,PYRowCount,1)))</f>
        <v>0</v>
      </c>
      <c r="I17" s="40">
        <f ca="1">IF(ISNA(MATCH('Set-up'!$B$14,ForMonths,0))=TRUE,0,SUMIF(ForAll,$A17&amp;"*",OFFSET(Forecast!$C$4,1,MATCH('Set-up'!$B$14,ForMonths,0),ForRowCount,1)))</f>
        <v>0</v>
      </c>
      <c r="J17" s="40">
        <f ca="1">IF(ISNA(MATCH('Set-up'!$B$14,TBMonths,0))=TRUE,0,SUMIF(TBAll,$A17&amp;"*",OFFSET(TBCY!$C$4,1,MATCH('Set-up'!$B$14,TBMonths,0),TBRowCount,1)))</f>
        <v>0</v>
      </c>
      <c r="K17" s="40">
        <f t="shared" ca="1" si="3"/>
        <v>0</v>
      </c>
      <c r="L17" s="46">
        <f t="shared" ca="1" si="0"/>
        <v>0</v>
      </c>
      <c r="M17" s="40">
        <f ca="1">IF(ISNA(MATCH('Set-up'!$B$16,PYMonths,0))=TRUE,0,SUMIF(PYAll,$A17&amp;"*",OFFSET(TBPY!$D$4,1,MATCH('Set-up'!$B$16,PYMonths,0),PYRowCount,1)))</f>
        <v>0</v>
      </c>
    </row>
    <row r="18" spans="1:13" ht="15" customHeight="1" x14ac:dyDescent="0.35">
      <c r="A18" s="19" t="s">
        <v>219</v>
      </c>
      <c r="B18" s="9" t="str">
        <f ca="1">IF(ISNA(VLOOKUP($A18,TBAll,COLUMN(TBCY!$C$4),0))=TRUE,"error!",VLOOKUP($A18,TBAll,COLUMN(TBCY!$C$4),0))</f>
        <v>Entertainment</v>
      </c>
      <c r="C18" s="40">
        <f ca="1">IF(ISNA(MATCH('Set-up'!$B$14,ForMonths,0))=TRUE,0,SUMIF(ForAll,$A18&amp;"*",OFFSET(Forecast!$C$4,1,MATCH('Set-up'!$B$14,ForMonths,0),ForRowCount,1)))-IF(ISNA(MATCH('Set-up'!$B$14,ForMonths,0))=TRUE,0,SUMIF(ForAll,$A18&amp;"*",OFFSET(Forecast!$C$4,1,MATCH('Set-up'!$B$14,ForMonths,0)-1,ForRowCount,1)))</f>
        <v>0</v>
      </c>
      <c r="D18" s="40">
        <f ca="1">IF(ISNA(MATCH('Set-up'!$B$14,TBMonths,0))=TRUE,0,SUMIF(TBAll,$A18&amp;"*",OFFSET(TBCY!$C$4,1,MATCH('Set-up'!$B$14,TBMonths,0),TBRowCount,1)))-IF(ISNA(MATCH('Set-up'!$B$14,TBMonths,0))=TRUE,0,SUMIF(TBAll,$A18&amp;"*",OFFSET(TBCY!$C$4,1,MATCH('Set-up'!$B$14,TBMonths,0)-1,TBRowCount,1)))</f>
        <v>0</v>
      </c>
      <c r="E18" s="40">
        <f t="shared" ca="1" si="2"/>
        <v>0</v>
      </c>
      <c r="F18" s="46">
        <f t="shared" ca="1" si="1"/>
        <v>0</v>
      </c>
      <c r="G18" s="40">
        <f ca="1">IF(ISNA(MATCH('Set-up'!$B$16,PYMonths,0))=TRUE,0,SUMIF(PYAll,$A18&amp;"*",OFFSET(TBPY!$D$4,1,MATCH('Set-up'!$B$16,PYMonths,0),PYRowCount,1)))-IF(ISNA(MATCH('Set-up'!$B$16,PYMonths,0))=TRUE,0,SUMIF(PYAll,$A18&amp;"*",OFFSET(TBPY!$D$4,1,MATCH('Set-up'!$B$16,PYMonths,0)-1,PYRowCount,1)))</f>
        <v>0</v>
      </c>
      <c r="I18" s="40">
        <f ca="1">IF(ISNA(MATCH('Set-up'!$B$14,ForMonths,0))=TRUE,0,SUMIF(ForAll,$A18&amp;"*",OFFSET(Forecast!$C$4,1,MATCH('Set-up'!$B$14,ForMonths,0),ForRowCount,1)))</f>
        <v>0</v>
      </c>
      <c r="J18" s="40">
        <f ca="1">IF(ISNA(MATCH('Set-up'!$B$14,TBMonths,0))=TRUE,0,SUMIF(TBAll,$A18&amp;"*",OFFSET(TBCY!$C$4,1,MATCH('Set-up'!$B$14,TBMonths,0),TBRowCount,1)))</f>
        <v>0</v>
      </c>
      <c r="K18" s="40">
        <f t="shared" ca="1" si="3"/>
        <v>0</v>
      </c>
      <c r="L18" s="46">
        <f t="shared" ca="1" si="0"/>
        <v>0</v>
      </c>
      <c r="M18" s="40">
        <f ca="1">IF(ISNA(MATCH('Set-up'!$B$16,PYMonths,0))=TRUE,0,SUMIF(PYAll,$A18&amp;"*",OFFSET(TBPY!$D$4,1,MATCH('Set-up'!$B$16,PYMonths,0),PYRowCount,1)))</f>
        <v>0</v>
      </c>
    </row>
    <row r="19" spans="1:13" ht="15" customHeight="1" x14ac:dyDescent="0.35">
      <c r="A19" s="19" t="s">
        <v>220</v>
      </c>
      <c r="B19" s="9" t="str">
        <f ca="1">IF(ISNA(VLOOKUP($A19,TBAll,COLUMN(TBCY!$C$4),0))=TRUE,"error!",VLOOKUP($A19,TBAll,COLUMN(TBCY!$C$4),0))</f>
        <v>Insurance</v>
      </c>
      <c r="C19" s="40">
        <f ca="1">IF(ISNA(MATCH('Set-up'!$B$14,ForMonths,0))=TRUE,0,SUMIF(ForAll,$A19&amp;"*",OFFSET(Forecast!$C$4,1,MATCH('Set-up'!$B$14,ForMonths,0),ForRowCount,1)))-IF(ISNA(MATCH('Set-up'!$B$14,ForMonths,0))=TRUE,0,SUMIF(ForAll,$A19&amp;"*",OFFSET(Forecast!$C$4,1,MATCH('Set-up'!$B$14,ForMonths,0)-1,ForRowCount,1)))</f>
        <v>0</v>
      </c>
      <c r="D19" s="40">
        <f ca="1">IF(ISNA(MATCH('Set-up'!$B$14,TBMonths,0))=TRUE,0,SUMIF(TBAll,$A19&amp;"*",OFFSET(TBCY!$C$4,1,MATCH('Set-up'!$B$14,TBMonths,0),TBRowCount,1)))-IF(ISNA(MATCH('Set-up'!$B$14,TBMonths,0))=TRUE,0,SUMIF(TBAll,$A19&amp;"*",OFFSET(TBCY!$C$4,1,MATCH('Set-up'!$B$14,TBMonths,0)-1,TBRowCount,1)))</f>
        <v>0</v>
      </c>
      <c r="E19" s="40">
        <f t="shared" ca="1" si="2"/>
        <v>0</v>
      </c>
      <c r="F19" s="46">
        <f t="shared" ca="1" si="1"/>
        <v>0</v>
      </c>
      <c r="G19" s="40">
        <f ca="1">IF(ISNA(MATCH('Set-up'!$B$16,PYMonths,0))=TRUE,0,SUMIF(PYAll,$A19&amp;"*",OFFSET(TBPY!$D$4,1,MATCH('Set-up'!$B$16,PYMonths,0),PYRowCount,1)))-IF(ISNA(MATCH('Set-up'!$B$16,PYMonths,0))=TRUE,0,SUMIF(PYAll,$A19&amp;"*",OFFSET(TBPY!$D$4,1,MATCH('Set-up'!$B$16,PYMonths,0)-1,PYRowCount,1)))</f>
        <v>0</v>
      </c>
      <c r="I19" s="40">
        <f ca="1">IF(ISNA(MATCH('Set-up'!$B$14,ForMonths,0))=TRUE,0,SUMIF(ForAll,$A19&amp;"*",OFFSET(Forecast!$C$4,1,MATCH('Set-up'!$B$14,ForMonths,0),ForRowCount,1)))</f>
        <v>0</v>
      </c>
      <c r="J19" s="40">
        <f ca="1">IF(ISNA(MATCH('Set-up'!$B$14,TBMonths,0))=TRUE,0,SUMIF(TBAll,$A19&amp;"*",OFFSET(TBCY!$C$4,1,MATCH('Set-up'!$B$14,TBMonths,0),TBRowCount,1)))</f>
        <v>0</v>
      </c>
      <c r="K19" s="40">
        <f t="shared" ca="1" si="3"/>
        <v>0</v>
      </c>
      <c r="L19" s="46">
        <f t="shared" ca="1" si="0"/>
        <v>0</v>
      </c>
      <c r="M19" s="40">
        <f ca="1">IF(ISNA(MATCH('Set-up'!$B$16,PYMonths,0))=TRUE,0,SUMIF(PYAll,$A19&amp;"*",OFFSET(TBPY!$D$4,1,MATCH('Set-up'!$B$16,PYMonths,0),PYRowCount,1)))</f>
        <v>0</v>
      </c>
    </row>
    <row r="20" spans="1:13" ht="15" customHeight="1" x14ac:dyDescent="0.35">
      <c r="A20" s="19" t="s">
        <v>221</v>
      </c>
      <c r="B20" s="9" t="str">
        <f ca="1">IF(ISNA(VLOOKUP($A20,TBAll,COLUMN(TBCY!$C$4),0))=TRUE,"error!",VLOOKUP($A20,TBAll,COLUMN(TBCY!$C$4),0))</f>
        <v>Office Expenses</v>
      </c>
      <c r="C20" s="40">
        <f ca="1">IF(ISNA(MATCH('Set-up'!$B$14,ForMonths,0))=TRUE,0,SUMIF(ForAll,$A20&amp;"*",OFFSET(Forecast!$C$4,1,MATCH('Set-up'!$B$14,ForMonths,0),ForRowCount,1)))-IF(ISNA(MATCH('Set-up'!$B$14,ForMonths,0))=TRUE,0,SUMIF(ForAll,$A20&amp;"*",OFFSET(Forecast!$C$4,1,MATCH('Set-up'!$B$14,ForMonths,0)-1,ForRowCount,1)))</f>
        <v>0</v>
      </c>
      <c r="D20" s="40">
        <f ca="1">IF(ISNA(MATCH('Set-up'!$B$14,TBMonths,0))=TRUE,0,SUMIF(TBAll,$A20&amp;"*",OFFSET(TBCY!$C$4,1,MATCH('Set-up'!$B$14,TBMonths,0),TBRowCount,1)))-IF(ISNA(MATCH('Set-up'!$B$14,TBMonths,0))=TRUE,0,SUMIF(TBAll,$A20&amp;"*",OFFSET(TBCY!$C$4,1,MATCH('Set-up'!$B$14,TBMonths,0)-1,TBRowCount,1)))</f>
        <v>0</v>
      </c>
      <c r="E20" s="40">
        <f t="shared" ca="1" si="2"/>
        <v>0</v>
      </c>
      <c r="F20" s="46">
        <f t="shared" ca="1" si="1"/>
        <v>0</v>
      </c>
      <c r="G20" s="40">
        <f ca="1">IF(ISNA(MATCH('Set-up'!$B$16,PYMonths,0))=TRUE,0,SUMIF(PYAll,$A20&amp;"*",OFFSET(TBPY!$D$4,1,MATCH('Set-up'!$B$16,PYMonths,0),PYRowCount,1)))-IF(ISNA(MATCH('Set-up'!$B$16,PYMonths,0))=TRUE,0,SUMIF(PYAll,$A20&amp;"*",OFFSET(TBPY!$D$4,1,MATCH('Set-up'!$B$16,PYMonths,0)-1,PYRowCount,1)))</f>
        <v>0</v>
      </c>
      <c r="I20" s="40">
        <f ca="1">IF(ISNA(MATCH('Set-up'!$B$14,ForMonths,0))=TRUE,0,SUMIF(ForAll,$A20&amp;"*",OFFSET(Forecast!$C$4,1,MATCH('Set-up'!$B$14,ForMonths,0),ForRowCount,1)))</f>
        <v>0</v>
      </c>
      <c r="J20" s="40">
        <f ca="1">IF(ISNA(MATCH('Set-up'!$B$14,TBMonths,0))=TRUE,0,SUMIF(TBAll,$A20&amp;"*",OFFSET(TBCY!$C$4,1,MATCH('Set-up'!$B$14,TBMonths,0),TBRowCount,1)))</f>
        <v>0</v>
      </c>
      <c r="K20" s="40">
        <f t="shared" ca="1" si="3"/>
        <v>0</v>
      </c>
      <c r="L20" s="46">
        <f t="shared" ca="1" si="0"/>
        <v>0</v>
      </c>
      <c r="M20" s="40">
        <f ca="1">IF(ISNA(MATCH('Set-up'!$B$16,PYMonths,0))=TRUE,0,SUMIF(PYAll,$A20&amp;"*",OFFSET(TBPY!$D$4,1,MATCH('Set-up'!$B$16,PYMonths,0),PYRowCount,1)))</f>
        <v>0</v>
      </c>
    </row>
    <row r="21" spans="1:13" ht="15" customHeight="1" x14ac:dyDescent="0.35">
      <c r="A21" s="19" t="s">
        <v>222</v>
      </c>
      <c r="B21" s="9" t="str">
        <f ca="1">IF(ISNA(VLOOKUP($A21,TBAll,COLUMN(TBCY!$C$4),0))=TRUE,"error!",VLOOKUP($A21,TBAll,COLUMN(TBCY!$C$4),0))</f>
        <v>Office Rent</v>
      </c>
      <c r="C21" s="40">
        <f ca="1">IF(ISNA(MATCH('Set-up'!$B$14,ForMonths,0))=TRUE,0,SUMIF(ForAll,$A21&amp;"*",OFFSET(Forecast!$C$4,1,MATCH('Set-up'!$B$14,ForMonths,0),ForRowCount,1)))-IF(ISNA(MATCH('Set-up'!$B$14,ForMonths,0))=TRUE,0,SUMIF(ForAll,$A21&amp;"*",OFFSET(Forecast!$C$4,1,MATCH('Set-up'!$B$14,ForMonths,0)-1,ForRowCount,1)))</f>
        <v>0</v>
      </c>
      <c r="D21" s="40">
        <f ca="1">IF(ISNA(MATCH('Set-up'!$B$14,TBMonths,0))=TRUE,0,SUMIF(TBAll,$A21&amp;"*",OFFSET(TBCY!$C$4,1,MATCH('Set-up'!$B$14,TBMonths,0),TBRowCount,1)))-IF(ISNA(MATCH('Set-up'!$B$14,TBMonths,0))=TRUE,0,SUMIF(TBAll,$A21&amp;"*",OFFSET(TBCY!$C$4,1,MATCH('Set-up'!$B$14,TBMonths,0)-1,TBRowCount,1)))</f>
        <v>0</v>
      </c>
      <c r="E21" s="40">
        <f t="shared" ca="1" si="2"/>
        <v>0</v>
      </c>
      <c r="F21" s="46">
        <f t="shared" ca="1" si="1"/>
        <v>0</v>
      </c>
      <c r="G21" s="40">
        <f ca="1">IF(ISNA(MATCH('Set-up'!$B$16,PYMonths,0))=TRUE,0,SUMIF(PYAll,$A21&amp;"*",OFFSET(TBPY!$D$4,1,MATCH('Set-up'!$B$16,PYMonths,0),PYRowCount,1)))-IF(ISNA(MATCH('Set-up'!$B$16,PYMonths,0))=TRUE,0,SUMIF(PYAll,$A21&amp;"*",OFFSET(TBPY!$D$4,1,MATCH('Set-up'!$B$16,PYMonths,0)-1,PYRowCount,1)))</f>
        <v>0</v>
      </c>
      <c r="I21" s="40">
        <f ca="1">IF(ISNA(MATCH('Set-up'!$B$14,ForMonths,0))=TRUE,0,SUMIF(ForAll,$A21&amp;"*",OFFSET(Forecast!$C$4,1,MATCH('Set-up'!$B$14,ForMonths,0),ForRowCount,1)))</f>
        <v>0</v>
      </c>
      <c r="J21" s="40">
        <f ca="1">IF(ISNA(MATCH('Set-up'!$B$14,TBMonths,0))=TRUE,0,SUMIF(TBAll,$A21&amp;"*",OFFSET(TBCY!$C$4,1,MATCH('Set-up'!$B$14,TBMonths,0),TBRowCount,1)))</f>
        <v>0</v>
      </c>
      <c r="K21" s="40">
        <f t="shared" ca="1" si="3"/>
        <v>0</v>
      </c>
      <c r="L21" s="46">
        <f t="shared" ca="1" si="0"/>
        <v>0</v>
      </c>
      <c r="M21" s="40">
        <f ca="1">IF(ISNA(MATCH('Set-up'!$B$16,PYMonths,0))=TRUE,0,SUMIF(PYAll,$A21&amp;"*",OFFSET(TBPY!$D$4,1,MATCH('Set-up'!$B$16,PYMonths,0),PYRowCount,1)))</f>
        <v>0</v>
      </c>
    </row>
    <row r="22" spans="1:13" ht="15" customHeight="1" x14ac:dyDescent="0.35">
      <c r="A22" s="19" t="s">
        <v>223</v>
      </c>
      <c r="B22" s="9" t="str">
        <f ca="1">IF(ISNA(VLOOKUP($A22,TBAll,COLUMN(TBCY!$C$4),0))=TRUE,"error!",VLOOKUP($A22,TBAll,COLUMN(TBCY!$C$4),0))</f>
        <v>Postage</v>
      </c>
      <c r="C22" s="40">
        <f ca="1">IF(ISNA(MATCH('Set-up'!$B$14,ForMonths,0))=TRUE,0,SUMIF(ForAll,$A22&amp;"*",OFFSET(Forecast!$C$4,1,MATCH('Set-up'!$B$14,ForMonths,0),ForRowCount,1)))-IF(ISNA(MATCH('Set-up'!$B$14,ForMonths,0))=TRUE,0,SUMIF(ForAll,$A22&amp;"*",OFFSET(Forecast!$C$4,1,MATCH('Set-up'!$B$14,ForMonths,0)-1,ForRowCount,1)))</f>
        <v>0</v>
      </c>
      <c r="D22" s="40">
        <f ca="1">IF(ISNA(MATCH('Set-up'!$B$14,TBMonths,0))=TRUE,0,SUMIF(TBAll,$A22&amp;"*",OFFSET(TBCY!$C$4,1,MATCH('Set-up'!$B$14,TBMonths,0),TBRowCount,1)))-IF(ISNA(MATCH('Set-up'!$B$14,TBMonths,0))=TRUE,0,SUMIF(TBAll,$A22&amp;"*",OFFSET(TBCY!$C$4,1,MATCH('Set-up'!$B$14,TBMonths,0)-1,TBRowCount,1)))</f>
        <v>0</v>
      </c>
      <c r="E22" s="40">
        <f t="shared" ca="1" si="2"/>
        <v>0</v>
      </c>
      <c r="F22" s="46">
        <f t="shared" ca="1" si="1"/>
        <v>0</v>
      </c>
      <c r="G22" s="40">
        <f ca="1">IF(ISNA(MATCH('Set-up'!$B$16,PYMonths,0))=TRUE,0,SUMIF(PYAll,$A22&amp;"*",OFFSET(TBPY!$D$4,1,MATCH('Set-up'!$B$16,PYMonths,0),PYRowCount,1)))-IF(ISNA(MATCH('Set-up'!$B$16,PYMonths,0))=TRUE,0,SUMIF(PYAll,$A22&amp;"*",OFFSET(TBPY!$D$4,1,MATCH('Set-up'!$B$16,PYMonths,0)-1,PYRowCount,1)))</f>
        <v>0</v>
      </c>
      <c r="I22" s="40">
        <f ca="1">IF(ISNA(MATCH('Set-up'!$B$14,ForMonths,0))=TRUE,0,SUMIF(ForAll,$A22&amp;"*",OFFSET(Forecast!$C$4,1,MATCH('Set-up'!$B$14,ForMonths,0),ForRowCount,1)))</f>
        <v>0</v>
      </c>
      <c r="J22" s="40">
        <f ca="1">IF(ISNA(MATCH('Set-up'!$B$14,TBMonths,0))=TRUE,0,SUMIF(TBAll,$A22&amp;"*",OFFSET(TBCY!$C$4,1,MATCH('Set-up'!$B$14,TBMonths,0),TBRowCount,1)))</f>
        <v>0</v>
      </c>
      <c r="K22" s="40">
        <f t="shared" ca="1" si="3"/>
        <v>0</v>
      </c>
      <c r="L22" s="46">
        <f t="shared" ca="1" si="0"/>
        <v>0</v>
      </c>
      <c r="M22" s="40">
        <f ca="1">IF(ISNA(MATCH('Set-up'!$B$16,PYMonths,0))=TRUE,0,SUMIF(PYAll,$A22&amp;"*",OFFSET(TBPY!$D$4,1,MATCH('Set-up'!$B$16,PYMonths,0),PYRowCount,1)))</f>
        <v>0</v>
      </c>
    </row>
    <row r="23" spans="1:13" ht="15" customHeight="1" x14ac:dyDescent="0.35">
      <c r="A23" s="19" t="s">
        <v>224</v>
      </c>
      <c r="B23" s="9" t="str">
        <f ca="1">IF(ISNA(VLOOKUP($A23,TBAll,COLUMN(TBCY!$C$4),0))=TRUE,"error!",VLOOKUP($A23,TBAll,COLUMN(TBCY!$C$4),0))</f>
        <v>Professional &amp; Legal Fees</v>
      </c>
      <c r="C23" s="40">
        <f ca="1">IF(ISNA(MATCH('Set-up'!$B$14,ForMonths,0))=TRUE,0,SUMIF(ForAll,$A23&amp;"*",OFFSET(Forecast!$C$4,1,MATCH('Set-up'!$B$14,ForMonths,0),ForRowCount,1)))-IF(ISNA(MATCH('Set-up'!$B$14,ForMonths,0))=TRUE,0,SUMIF(ForAll,$A23&amp;"*",OFFSET(Forecast!$C$4,1,MATCH('Set-up'!$B$14,ForMonths,0)-1,ForRowCount,1)))</f>
        <v>0</v>
      </c>
      <c r="D23" s="40">
        <f ca="1">IF(ISNA(MATCH('Set-up'!$B$14,TBMonths,0))=TRUE,0,SUMIF(TBAll,$A23&amp;"*",OFFSET(TBCY!$C$4,1,MATCH('Set-up'!$B$14,TBMonths,0),TBRowCount,1)))-IF(ISNA(MATCH('Set-up'!$B$14,TBMonths,0))=TRUE,0,SUMIF(TBAll,$A23&amp;"*",OFFSET(TBCY!$C$4,1,MATCH('Set-up'!$B$14,TBMonths,0)-1,TBRowCount,1)))</f>
        <v>0</v>
      </c>
      <c r="E23" s="40">
        <f t="shared" ca="1" si="2"/>
        <v>0</v>
      </c>
      <c r="F23" s="46">
        <f t="shared" ca="1" si="1"/>
        <v>0</v>
      </c>
      <c r="G23" s="40">
        <f ca="1">IF(ISNA(MATCH('Set-up'!$B$16,PYMonths,0))=TRUE,0,SUMIF(PYAll,$A23&amp;"*",OFFSET(TBPY!$D$4,1,MATCH('Set-up'!$B$16,PYMonths,0),PYRowCount,1)))-IF(ISNA(MATCH('Set-up'!$B$16,PYMonths,0))=TRUE,0,SUMIF(PYAll,$A23&amp;"*",OFFSET(TBPY!$D$4,1,MATCH('Set-up'!$B$16,PYMonths,0)-1,PYRowCount,1)))</f>
        <v>0</v>
      </c>
      <c r="I23" s="40">
        <f ca="1">IF(ISNA(MATCH('Set-up'!$B$14,ForMonths,0))=TRUE,0,SUMIF(ForAll,$A23&amp;"*",OFFSET(Forecast!$C$4,1,MATCH('Set-up'!$B$14,ForMonths,0),ForRowCount,1)))</f>
        <v>0</v>
      </c>
      <c r="J23" s="40">
        <f ca="1">IF(ISNA(MATCH('Set-up'!$B$14,TBMonths,0))=TRUE,0,SUMIF(TBAll,$A23&amp;"*",OFFSET(TBCY!$C$4,1,MATCH('Set-up'!$B$14,TBMonths,0),TBRowCount,1)))</f>
        <v>0</v>
      </c>
      <c r="K23" s="40">
        <f t="shared" ca="1" si="3"/>
        <v>0</v>
      </c>
      <c r="L23" s="46">
        <f t="shared" ca="1" si="0"/>
        <v>0</v>
      </c>
      <c r="M23" s="40">
        <f ca="1">IF(ISNA(MATCH('Set-up'!$B$16,PYMonths,0))=TRUE,0,SUMIF(PYAll,$A23&amp;"*",OFFSET(TBPY!$D$4,1,MATCH('Set-up'!$B$16,PYMonths,0),PYRowCount,1)))</f>
        <v>0</v>
      </c>
    </row>
    <row r="24" spans="1:13" ht="15" customHeight="1" x14ac:dyDescent="0.35">
      <c r="A24" s="19" t="s">
        <v>225</v>
      </c>
      <c r="B24" s="9" t="str">
        <f ca="1">IF(ISNA(VLOOKUP($A24,TBAll,COLUMN(TBCY!$C$4),0))=TRUE,"error!",VLOOKUP($A24,TBAll,COLUMN(TBCY!$C$4),0))</f>
        <v>Salaries &amp; Wages</v>
      </c>
      <c r="C24" s="40">
        <f ca="1">IF(ISNA(MATCH('Set-up'!$B$14,ForMonths,0))=TRUE,0,SUMIF(ForAll,$A24&amp;"*",OFFSET(Forecast!$C$4,1,MATCH('Set-up'!$B$14,ForMonths,0),ForRowCount,1)))-IF(ISNA(MATCH('Set-up'!$B$14,ForMonths,0))=TRUE,0,SUMIF(ForAll,$A24&amp;"*",OFFSET(Forecast!$C$4,1,MATCH('Set-up'!$B$14,ForMonths,0)-1,ForRowCount,1)))</f>
        <v>0</v>
      </c>
      <c r="D24" s="40">
        <f ca="1">IF(ISNA(MATCH('Set-up'!$B$14,TBMonths,0))=TRUE,0,SUMIF(TBAll,$A24&amp;"*",OFFSET(TBCY!$C$4,1,MATCH('Set-up'!$B$14,TBMonths,0),TBRowCount,1)))-IF(ISNA(MATCH('Set-up'!$B$14,TBMonths,0))=TRUE,0,SUMIF(TBAll,$A24&amp;"*",OFFSET(TBCY!$C$4,1,MATCH('Set-up'!$B$14,TBMonths,0)-1,TBRowCount,1)))</f>
        <v>0</v>
      </c>
      <c r="E24" s="40">
        <f t="shared" ca="1" si="2"/>
        <v>0</v>
      </c>
      <c r="F24" s="46">
        <f t="shared" ca="1" si="1"/>
        <v>0</v>
      </c>
      <c r="G24" s="40">
        <f ca="1">IF(ISNA(MATCH('Set-up'!$B$16,PYMonths,0))=TRUE,0,SUMIF(PYAll,$A24&amp;"*",OFFSET(TBPY!$D$4,1,MATCH('Set-up'!$B$16,PYMonths,0),PYRowCount,1)))-IF(ISNA(MATCH('Set-up'!$B$16,PYMonths,0))=TRUE,0,SUMIF(PYAll,$A24&amp;"*",OFFSET(TBPY!$D$4,1,MATCH('Set-up'!$B$16,PYMonths,0)-1,PYRowCount,1)))</f>
        <v>0</v>
      </c>
      <c r="I24" s="40">
        <f ca="1">IF(ISNA(MATCH('Set-up'!$B$14,ForMonths,0))=TRUE,0,SUMIF(ForAll,$A24&amp;"*",OFFSET(Forecast!$C$4,1,MATCH('Set-up'!$B$14,ForMonths,0),ForRowCount,1)))</f>
        <v>0</v>
      </c>
      <c r="J24" s="40">
        <f ca="1">IF(ISNA(MATCH('Set-up'!$B$14,TBMonths,0))=TRUE,0,SUMIF(TBAll,$A24&amp;"*",OFFSET(TBCY!$C$4,1,MATCH('Set-up'!$B$14,TBMonths,0),TBRowCount,1)))</f>
        <v>0</v>
      </c>
      <c r="K24" s="40">
        <f t="shared" ca="1" si="3"/>
        <v>0</v>
      </c>
      <c r="L24" s="46">
        <f t="shared" ca="1" si="0"/>
        <v>0</v>
      </c>
      <c r="M24" s="40">
        <f ca="1">IF(ISNA(MATCH('Set-up'!$B$16,PYMonths,0))=TRUE,0,SUMIF(PYAll,$A24&amp;"*",OFFSET(TBPY!$D$4,1,MATCH('Set-up'!$B$16,PYMonths,0),PYRowCount,1)))</f>
        <v>0</v>
      </c>
    </row>
    <row r="25" spans="1:13" ht="15" customHeight="1" x14ac:dyDescent="0.35">
      <c r="A25" s="19" t="s">
        <v>226</v>
      </c>
      <c r="B25" s="9" t="str">
        <f ca="1">IF(ISNA(VLOOKUP($A25,TBAll,COLUMN(TBCY!$C$4),0))=TRUE,"error!",VLOOKUP($A25,TBAll,COLUMN(TBCY!$C$4),0))</f>
        <v>Stationery</v>
      </c>
      <c r="C25" s="40">
        <f ca="1">IF(ISNA(MATCH('Set-up'!$B$14,ForMonths,0))=TRUE,0,SUMIF(ForAll,$A25&amp;"*",OFFSET(Forecast!$C$4,1,MATCH('Set-up'!$B$14,ForMonths,0),ForRowCount,1)))-IF(ISNA(MATCH('Set-up'!$B$14,ForMonths,0))=TRUE,0,SUMIF(ForAll,$A25&amp;"*",OFFSET(Forecast!$C$4,1,MATCH('Set-up'!$B$14,ForMonths,0)-1,ForRowCount,1)))</f>
        <v>0</v>
      </c>
      <c r="D25" s="40">
        <f ca="1">IF(ISNA(MATCH('Set-up'!$B$14,TBMonths,0))=TRUE,0,SUMIF(TBAll,$A25&amp;"*",OFFSET(TBCY!$C$4,1,MATCH('Set-up'!$B$14,TBMonths,0),TBRowCount,1)))-IF(ISNA(MATCH('Set-up'!$B$14,TBMonths,0))=TRUE,0,SUMIF(TBAll,$A25&amp;"*",OFFSET(TBCY!$C$4,1,MATCH('Set-up'!$B$14,TBMonths,0)-1,TBRowCount,1)))</f>
        <v>0</v>
      </c>
      <c r="E25" s="40">
        <f t="shared" ca="1" si="2"/>
        <v>0</v>
      </c>
      <c r="F25" s="46">
        <f t="shared" ca="1" si="1"/>
        <v>0</v>
      </c>
      <c r="G25" s="40">
        <f ca="1">IF(ISNA(MATCH('Set-up'!$B$16,PYMonths,0))=TRUE,0,SUMIF(PYAll,$A25&amp;"*",OFFSET(TBPY!$D$4,1,MATCH('Set-up'!$B$16,PYMonths,0),PYRowCount,1)))-IF(ISNA(MATCH('Set-up'!$B$16,PYMonths,0))=TRUE,0,SUMIF(PYAll,$A25&amp;"*",OFFSET(TBPY!$D$4,1,MATCH('Set-up'!$B$16,PYMonths,0)-1,PYRowCount,1)))</f>
        <v>0</v>
      </c>
      <c r="I25" s="40">
        <f ca="1">IF(ISNA(MATCH('Set-up'!$B$14,ForMonths,0))=TRUE,0,SUMIF(ForAll,$A25&amp;"*",OFFSET(Forecast!$C$4,1,MATCH('Set-up'!$B$14,ForMonths,0),ForRowCount,1)))</f>
        <v>0</v>
      </c>
      <c r="J25" s="40">
        <f ca="1">IF(ISNA(MATCH('Set-up'!$B$14,TBMonths,0))=TRUE,0,SUMIF(TBAll,$A25&amp;"*",OFFSET(TBCY!$C$4,1,MATCH('Set-up'!$B$14,TBMonths,0),TBRowCount,1)))</f>
        <v>0</v>
      </c>
      <c r="K25" s="40">
        <f t="shared" ca="1" si="3"/>
        <v>0</v>
      </c>
      <c r="L25" s="46">
        <f t="shared" ca="1" si="0"/>
        <v>0</v>
      </c>
      <c r="M25" s="40">
        <f ca="1">IF(ISNA(MATCH('Set-up'!$B$16,PYMonths,0))=TRUE,0,SUMIF(PYAll,$A25&amp;"*",OFFSET(TBPY!$D$4,1,MATCH('Set-up'!$B$16,PYMonths,0),PYRowCount,1)))</f>
        <v>0</v>
      </c>
    </row>
    <row r="26" spans="1:13" ht="15" customHeight="1" x14ac:dyDescent="0.35">
      <c r="A26" s="19" t="s">
        <v>227</v>
      </c>
      <c r="B26" s="9" t="str">
        <f ca="1">IF(ISNA(VLOOKUP($A26,TBAll,COLUMN(TBCY!$C$4),0))=TRUE,"error!",VLOOKUP($A26,TBAll,COLUMN(TBCY!$C$4),0))</f>
        <v>Subscriptions &amp; Memberships</v>
      </c>
      <c r="C26" s="40">
        <f ca="1">IF(ISNA(MATCH('Set-up'!$B$14,ForMonths,0))=TRUE,0,SUMIF(ForAll,$A26&amp;"*",OFFSET(Forecast!$C$4,1,MATCH('Set-up'!$B$14,ForMonths,0),ForRowCount,1)))-IF(ISNA(MATCH('Set-up'!$B$14,ForMonths,0))=TRUE,0,SUMIF(ForAll,$A26&amp;"*",OFFSET(Forecast!$C$4,1,MATCH('Set-up'!$B$14,ForMonths,0)-1,ForRowCount,1)))</f>
        <v>0</v>
      </c>
      <c r="D26" s="40">
        <f ca="1">IF(ISNA(MATCH('Set-up'!$B$14,TBMonths,0))=TRUE,0,SUMIF(TBAll,$A26&amp;"*",OFFSET(TBCY!$C$4,1,MATCH('Set-up'!$B$14,TBMonths,0),TBRowCount,1)))-IF(ISNA(MATCH('Set-up'!$B$14,TBMonths,0))=TRUE,0,SUMIF(TBAll,$A26&amp;"*",OFFSET(TBCY!$C$4,1,MATCH('Set-up'!$B$14,TBMonths,0)-1,TBRowCount,1)))</f>
        <v>0</v>
      </c>
      <c r="E26" s="40">
        <f t="shared" ca="1" si="2"/>
        <v>0</v>
      </c>
      <c r="F26" s="46">
        <f t="shared" ca="1" si="1"/>
        <v>0</v>
      </c>
      <c r="G26" s="40">
        <f ca="1">IF(ISNA(MATCH('Set-up'!$B$16,PYMonths,0))=TRUE,0,SUMIF(PYAll,$A26&amp;"*",OFFSET(TBPY!$D$4,1,MATCH('Set-up'!$B$16,PYMonths,0),PYRowCount,1)))-IF(ISNA(MATCH('Set-up'!$B$16,PYMonths,0))=TRUE,0,SUMIF(PYAll,$A26&amp;"*",OFFSET(TBPY!$D$4,1,MATCH('Set-up'!$B$16,PYMonths,0)-1,PYRowCount,1)))</f>
        <v>0</v>
      </c>
      <c r="I26" s="40">
        <f ca="1">IF(ISNA(MATCH('Set-up'!$B$14,ForMonths,0))=TRUE,0,SUMIF(ForAll,$A26&amp;"*",OFFSET(Forecast!$C$4,1,MATCH('Set-up'!$B$14,ForMonths,0),ForRowCount,1)))</f>
        <v>0</v>
      </c>
      <c r="J26" s="40">
        <f ca="1">IF(ISNA(MATCH('Set-up'!$B$14,TBMonths,0))=TRUE,0,SUMIF(TBAll,$A26&amp;"*",OFFSET(TBCY!$C$4,1,MATCH('Set-up'!$B$14,TBMonths,0),TBRowCount,1)))</f>
        <v>0</v>
      </c>
      <c r="K26" s="40">
        <f t="shared" ca="1" si="3"/>
        <v>0</v>
      </c>
      <c r="L26" s="46">
        <f t="shared" ca="1" si="0"/>
        <v>0</v>
      </c>
      <c r="M26" s="40">
        <f ca="1">IF(ISNA(MATCH('Set-up'!$B$16,PYMonths,0))=TRUE,0,SUMIF(PYAll,$A26&amp;"*",OFFSET(TBPY!$D$4,1,MATCH('Set-up'!$B$16,PYMonths,0),PYRowCount,1)))</f>
        <v>0</v>
      </c>
    </row>
    <row r="27" spans="1:13" ht="15" customHeight="1" x14ac:dyDescent="0.35">
      <c r="A27" s="19" t="s">
        <v>228</v>
      </c>
      <c r="B27" s="9" t="str">
        <f ca="1">IF(ISNA(VLOOKUP($A27,TBAll,COLUMN(TBCY!$C$4),0))=TRUE,"error!",VLOOKUP($A27,TBAll,COLUMN(TBCY!$C$4),0))</f>
        <v>Telephone &amp; Internet</v>
      </c>
      <c r="C27" s="40">
        <f ca="1">IF(ISNA(MATCH('Set-up'!$B$14,ForMonths,0))=TRUE,0,SUMIF(ForAll,$A27&amp;"*",OFFSET(Forecast!$C$4,1,MATCH('Set-up'!$B$14,ForMonths,0),ForRowCount,1)))-IF(ISNA(MATCH('Set-up'!$B$14,ForMonths,0))=TRUE,0,SUMIF(ForAll,$A27&amp;"*",OFFSET(Forecast!$C$4,1,MATCH('Set-up'!$B$14,ForMonths,0)-1,ForRowCount,1)))</f>
        <v>0</v>
      </c>
      <c r="D27" s="40">
        <f ca="1">IF(ISNA(MATCH('Set-up'!$B$14,TBMonths,0))=TRUE,0,SUMIF(TBAll,$A27&amp;"*",OFFSET(TBCY!$C$4,1,MATCH('Set-up'!$B$14,TBMonths,0),TBRowCount,1)))-IF(ISNA(MATCH('Set-up'!$B$14,TBMonths,0))=TRUE,0,SUMIF(TBAll,$A27&amp;"*",OFFSET(TBCY!$C$4,1,MATCH('Set-up'!$B$14,TBMonths,0)-1,TBRowCount,1)))</f>
        <v>0</v>
      </c>
      <c r="E27" s="40">
        <f t="shared" ca="1" si="2"/>
        <v>0</v>
      </c>
      <c r="F27" s="46">
        <f t="shared" ca="1" si="1"/>
        <v>0</v>
      </c>
      <c r="G27" s="40">
        <f ca="1">IF(ISNA(MATCH('Set-up'!$B$16,PYMonths,0))=TRUE,0,SUMIF(PYAll,$A27&amp;"*",OFFSET(TBPY!$D$4,1,MATCH('Set-up'!$B$16,PYMonths,0),PYRowCount,1)))-IF(ISNA(MATCH('Set-up'!$B$16,PYMonths,0))=TRUE,0,SUMIF(PYAll,$A27&amp;"*",OFFSET(TBPY!$D$4,1,MATCH('Set-up'!$B$16,PYMonths,0)-1,PYRowCount,1)))</f>
        <v>0</v>
      </c>
      <c r="I27" s="40">
        <f ca="1">IF(ISNA(MATCH('Set-up'!$B$14,ForMonths,0))=TRUE,0,SUMIF(ForAll,$A27&amp;"*",OFFSET(Forecast!$C$4,1,MATCH('Set-up'!$B$14,ForMonths,0),ForRowCount,1)))</f>
        <v>0</v>
      </c>
      <c r="J27" s="40">
        <f ca="1">IF(ISNA(MATCH('Set-up'!$B$14,TBMonths,0))=TRUE,0,SUMIF(TBAll,$A27&amp;"*",OFFSET(TBCY!$C$4,1,MATCH('Set-up'!$B$14,TBMonths,0),TBRowCount,1)))</f>
        <v>0</v>
      </c>
      <c r="K27" s="40">
        <f t="shared" ca="1" si="3"/>
        <v>0</v>
      </c>
      <c r="L27" s="46">
        <f t="shared" ca="1" si="0"/>
        <v>0</v>
      </c>
      <c r="M27" s="40">
        <f ca="1">IF(ISNA(MATCH('Set-up'!$B$16,PYMonths,0))=TRUE,0,SUMIF(PYAll,$A27&amp;"*",OFFSET(TBPY!$D$4,1,MATCH('Set-up'!$B$16,PYMonths,0),PYRowCount,1)))</f>
        <v>0</v>
      </c>
    </row>
    <row r="28" spans="1:13" ht="15" customHeight="1" x14ac:dyDescent="0.35">
      <c r="A28" s="19" t="s">
        <v>229</v>
      </c>
      <c r="B28" s="9" t="str">
        <f ca="1">IF(ISNA(VLOOKUP($A28,TBAll,COLUMN(TBCY!$C$4),0))=TRUE,"error!",VLOOKUP($A28,TBAll,COLUMN(TBCY!$C$4),0))</f>
        <v>Training</v>
      </c>
      <c r="C28" s="40">
        <f ca="1">IF(ISNA(MATCH('Set-up'!$B$14,ForMonths,0))=TRUE,0,SUMIF(ForAll,$A28&amp;"*",OFFSET(Forecast!$C$4,1,MATCH('Set-up'!$B$14,ForMonths,0),ForRowCount,1)))-IF(ISNA(MATCH('Set-up'!$B$14,ForMonths,0))=TRUE,0,SUMIF(ForAll,$A28&amp;"*",OFFSET(Forecast!$C$4,1,MATCH('Set-up'!$B$14,ForMonths,0)-1,ForRowCount,1)))</f>
        <v>0</v>
      </c>
      <c r="D28" s="40">
        <f ca="1">IF(ISNA(MATCH('Set-up'!$B$14,TBMonths,0))=TRUE,0,SUMIF(TBAll,$A28&amp;"*",OFFSET(TBCY!$C$4,1,MATCH('Set-up'!$B$14,TBMonths,0),TBRowCount,1)))-IF(ISNA(MATCH('Set-up'!$B$14,TBMonths,0))=TRUE,0,SUMIF(TBAll,$A28&amp;"*",OFFSET(TBCY!$C$4,1,MATCH('Set-up'!$B$14,TBMonths,0)-1,TBRowCount,1)))</f>
        <v>0</v>
      </c>
      <c r="E28" s="40">
        <f t="shared" ca="1" si="2"/>
        <v>0</v>
      </c>
      <c r="F28" s="46">
        <f t="shared" ca="1" si="1"/>
        <v>0</v>
      </c>
      <c r="G28" s="40">
        <f ca="1">IF(ISNA(MATCH('Set-up'!$B$16,PYMonths,0))=TRUE,0,SUMIF(PYAll,$A28&amp;"*",OFFSET(TBPY!$D$4,1,MATCH('Set-up'!$B$16,PYMonths,0),PYRowCount,1)))-IF(ISNA(MATCH('Set-up'!$B$16,PYMonths,0))=TRUE,0,SUMIF(PYAll,$A28&amp;"*",OFFSET(TBPY!$D$4,1,MATCH('Set-up'!$B$16,PYMonths,0)-1,PYRowCount,1)))</f>
        <v>0</v>
      </c>
      <c r="I28" s="40">
        <f ca="1">IF(ISNA(MATCH('Set-up'!$B$14,ForMonths,0))=TRUE,0,SUMIF(ForAll,$A28&amp;"*",OFFSET(Forecast!$C$4,1,MATCH('Set-up'!$B$14,ForMonths,0),ForRowCount,1)))</f>
        <v>0</v>
      </c>
      <c r="J28" s="40">
        <f ca="1">IF(ISNA(MATCH('Set-up'!$B$14,TBMonths,0))=TRUE,0,SUMIF(TBAll,$A28&amp;"*",OFFSET(TBCY!$C$4,1,MATCH('Set-up'!$B$14,TBMonths,0),TBRowCount,1)))</f>
        <v>0</v>
      </c>
      <c r="K28" s="40">
        <f t="shared" ca="1" si="3"/>
        <v>0</v>
      </c>
      <c r="L28" s="46">
        <f t="shared" ca="1" si="0"/>
        <v>0</v>
      </c>
      <c r="M28" s="40">
        <f ca="1">IF(ISNA(MATCH('Set-up'!$B$16,PYMonths,0))=TRUE,0,SUMIF(PYAll,$A28&amp;"*",OFFSET(TBPY!$D$4,1,MATCH('Set-up'!$B$16,PYMonths,0),PYRowCount,1)))</f>
        <v>0</v>
      </c>
    </row>
    <row r="29" spans="1:13" ht="15" customHeight="1" x14ac:dyDescent="0.35">
      <c r="A29" s="19" t="s">
        <v>230</v>
      </c>
      <c r="B29" s="9" t="str">
        <f ca="1">IF(ISNA(VLOOKUP($A29,TBAll,COLUMN(TBCY!$C$4),0))=TRUE,"error!",VLOOKUP($A29,TBAll,COLUMN(TBCY!$C$4),0))</f>
        <v>Travelling &amp; Accommodation</v>
      </c>
      <c r="C29" s="40">
        <f ca="1">IF(ISNA(MATCH('Set-up'!$B$14,ForMonths,0))=TRUE,0,SUMIF(ForAll,$A29&amp;"*",OFFSET(Forecast!$C$4,1,MATCH('Set-up'!$B$14,ForMonths,0),ForRowCount,1)))-IF(ISNA(MATCH('Set-up'!$B$14,ForMonths,0))=TRUE,0,SUMIF(ForAll,$A29&amp;"*",OFFSET(Forecast!$C$4,1,MATCH('Set-up'!$B$14,ForMonths,0)-1,ForRowCount,1)))</f>
        <v>0</v>
      </c>
      <c r="D29" s="40">
        <f ca="1">IF(ISNA(MATCH('Set-up'!$B$14,TBMonths,0))=TRUE,0,SUMIF(TBAll,$A29&amp;"*",OFFSET(TBCY!$C$4,1,MATCH('Set-up'!$B$14,TBMonths,0),TBRowCount,1)))-IF(ISNA(MATCH('Set-up'!$B$14,TBMonths,0))=TRUE,0,SUMIF(TBAll,$A29&amp;"*",OFFSET(TBCY!$C$4,1,MATCH('Set-up'!$B$14,TBMonths,0)-1,TBRowCount,1)))</f>
        <v>0</v>
      </c>
      <c r="E29" s="40">
        <f t="shared" ca="1" si="2"/>
        <v>0</v>
      </c>
      <c r="F29" s="46">
        <f t="shared" ca="1" si="1"/>
        <v>0</v>
      </c>
      <c r="G29" s="40">
        <f ca="1">IF(ISNA(MATCH('Set-up'!$B$16,PYMonths,0))=TRUE,0,SUMIF(PYAll,$A29&amp;"*",OFFSET(TBPY!$D$4,1,MATCH('Set-up'!$B$16,PYMonths,0),PYRowCount,1)))-IF(ISNA(MATCH('Set-up'!$B$16,PYMonths,0))=TRUE,0,SUMIF(PYAll,$A29&amp;"*",OFFSET(TBPY!$D$4,1,MATCH('Set-up'!$B$16,PYMonths,0)-1,PYRowCount,1)))</f>
        <v>0</v>
      </c>
      <c r="I29" s="40">
        <f ca="1">IF(ISNA(MATCH('Set-up'!$B$14,ForMonths,0))=TRUE,0,SUMIF(ForAll,$A29&amp;"*",OFFSET(Forecast!$C$4,1,MATCH('Set-up'!$B$14,ForMonths,0),ForRowCount,1)))</f>
        <v>0</v>
      </c>
      <c r="J29" s="40">
        <f ca="1">IF(ISNA(MATCH('Set-up'!$B$14,TBMonths,0))=TRUE,0,SUMIF(TBAll,$A29&amp;"*",OFFSET(TBCY!$C$4,1,MATCH('Set-up'!$B$14,TBMonths,0),TBRowCount,1)))</f>
        <v>0</v>
      </c>
      <c r="K29" s="40">
        <f t="shared" ca="1" si="3"/>
        <v>0</v>
      </c>
      <c r="L29" s="46">
        <f t="shared" ca="1" si="0"/>
        <v>0</v>
      </c>
      <c r="M29" s="40">
        <f ca="1">IF(ISNA(MATCH('Set-up'!$B$16,PYMonths,0))=TRUE,0,SUMIF(PYAll,$A29&amp;"*",OFFSET(TBPY!$D$4,1,MATCH('Set-up'!$B$16,PYMonths,0),PYRowCount,1)))</f>
        <v>0</v>
      </c>
    </row>
    <row r="30" spans="1:13" ht="15" customHeight="1" x14ac:dyDescent="0.35">
      <c r="A30" s="19" t="s">
        <v>231</v>
      </c>
      <c r="B30" s="9" t="str">
        <f ca="1">IF(ISNA(VLOOKUP($A30,TBAll,COLUMN(TBCY!$C$4),0))=TRUE,"error!",VLOOKUP($A30,TBAll,COLUMN(TBCY!$C$4),0))</f>
        <v>Utilities</v>
      </c>
      <c r="C30" s="40">
        <f ca="1">IF(ISNA(MATCH('Set-up'!$B$14,ForMonths,0))=TRUE,0,SUMIF(ForAll,$A30&amp;"*",OFFSET(Forecast!$C$4,1,MATCH('Set-up'!$B$14,ForMonths,0),ForRowCount,1)))-IF(ISNA(MATCH('Set-up'!$B$14,ForMonths,0))=TRUE,0,SUMIF(ForAll,$A30&amp;"*",OFFSET(Forecast!$C$4,1,MATCH('Set-up'!$B$14,ForMonths,0)-1,ForRowCount,1)))</f>
        <v>0</v>
      </c>
      <c r="D30" s="40">
        <f ca="1">IF(ISNA(MATCH('Set-up'!$B$14,TBMonths,0))=TRUE,0,SUMIF(TBAll,$A30&amp;"*",OFFSET(TBCY!$C$4,1,MATCH('Set-up'!$B$14,TBMonths,0),TBRowCount,1)))-IF(ISNA(MATCH('Set-up'!$B$14,TBMonths,0))=TRUE,0,SUMIF(TBAll,$A30&amp;"*",OFFSET(TBCY!$C$4,1,MATCH('Set-up'!$B$14,TBMonths,0)-1,TBRowCount,1)))</f>
        <v>0</v>
      </c>
      <c r="E30" s="40">
        <f t="shared" ca="1" si="2"/>
        <v>0</v>
      </c>
      <c r="F30" s="46">
        <f t="shared" ca="1" si="1"/>
        <v>0</v>
      </c>
      <c r="G30" s="40">
        <f ca="1">IF(ISNA(MATCH('Set-up'!$B$16,PYMonths,0))=TRUE,0,SUMIF(PYAll,$A30&amp;"*",OFFSET(TBPY!$D$4,1,MATCH('Set-up'!$B$16,PYMonths,0),PYRowCount,1)))-IF(ISNA(MATCH('Set-up'!$B$16,PYMonths,0))=TRUE,0,SUMIF(PYAll,$A30&amp;"*",OFFSET(TBPY!$D$4,1,MATCH('Set-up'!$B$16,PYMonths,0)-1,PYRowCount,1)))</f>
        <v>0</v>
      </c>
      <c r="I30" s="40">
        <f ca="1">IF(ISNA(MATCH('Set-up'!$B$14,ForMonths,0))=TRUE,0,SUMIF(ForAll,$A30&amp;"*",OFFSET(Forecast!$C$4,1,MATCH('Set-up'!$B$14,ForMonths,0),ForRowCount,1)))</f>
        <v>0</v>
      </c>
      <c r="J30" s="40">
        <f ca="1">IF(ISNA(MATCH('Set-up'!$B$14,TBMonths,0))=TRUE,0,SUMIF(TBAll,$A30&amp;"*",OFFSET(TBCY!$C$4,1,MATCH('Set-up'!$B$14,TBMonths,0),TBRowCount,1)))</f>
        <v>0</v>
      </c>
      <c r="K30" s="40">
        <f t="shared" ca="1" si="3"/>
        <v>0</v>
      </c>
      <c r="L30" s="46">
        <f t="shared" ca="1" si="0"/>
        <v>0</v>
      </c>
      <c r="M30" s="40">
        <f ca="1">IF(ISNA(MATCH('Set-up'!$B$16,PYMonths,0))=TRUE,0,SUMIF(PYAll,$A30&amp;"*",OFFSET(TBPY!$D$4,1,MATCH('Set-up'!$B$16,PYMonths,0),PYRowCount,1)))</f>
        <v>0</v>
      </c>
    </row>
    <row r="31" spans="1:13" ht="15" customHeight="1" x14ac:dyDescent="0.35">
      <c r="A31" s="19" t="s">
        <v>232</v>
      </c>
      <c r="B31" s="9" t="str">
        <f ca="1">IF(ISNA(VLOOKUP($A31,TBAll,COLUMN(TBCY!$C$4),0))=TRUE,"error!",VLOOKUP($A31,TBAll,COLUMN(TBCY!$C$4),0))</f>
        <v>Other Expenses</v>
      </c>
      <c r="C31" s="41">
        <f ca="1">IF(ISNA(MATCH('Set-up'!$B$14,ForMonths,0))=TRUE,0,SUMIF(ForAll,$A31&amp;"*",OFFSET(Forecast!$C$4,1,MATCH('Set-up'!$B$14,ForMonths,0),ForRowCount,1)))-IF(ISNA(MATCH('Set-up'!$B$14,ForMonths,0))=TRUE,0,SUMIF(ForAll,$A31&amp;"*",OFFSET(Forecast!$C$4,1,MATCH('Set-up'!$B$14,ForMonths,0)-1,ForRowCount,1)))</f>
        <v>0</v>
      </c>
      <c r="D31" s="41">
        <f ca="1">IF(ISNA(MATCH('Set-up'!$B$14,TBMonths,0))=TRUE,0,SUMIF(TBAll,$A31&amp;"*",OFFSET(TBCY!$C$4,1,MATCH('Set-up'!$B$14,TBMonths,0),TBRowCount,1)))-IF(ISNA(MATCH('Set-up'!$B$14,TBMonths,0))=TRUE,0,SUMIF(TBAll,$A31&amp;"*",OFFSET(TBCY!$C$4,1,MATCH('Set-up'!$B$14,TBMonths,0)-1,TBRowCount,1)))</f>
        <v>0</v>
      </c>
      <c r="E31" s="41">
        <f t="shared" ca="1" si="2"/>
        <v>0</v>
      </c>
      <c r="F31" s="47">
        <f t="shared" ca="1" si="1"/>
        <v>0</v>
      </c>
      <c r="G31" s="41">
        <f ca="1">IF(ISNA(MATCH('Set-up'!$B$16,PYMonths,0))=TRUE,0,SUMIF(PYAll,$A31&amp;"*",OFFSET(TBPY!$D$4,1,MATCH('Set-up'!$B$16,PYMonths,0),PYRowCount,1)))-IF(ISNA(MATCH('Set-up'!$B$16,PYMonths,0))=TRUE,0,SUMIF(PYAll,$A31&amp;"*",OFFSET(TBPY!$D$4,1,MATCH('Set-up'!$B$16,PYMonths,0)-1,PYRowCount,1)))</f>
        <v>0</v>
      </c>
      <c r="I31" s="41">
        <f ca="1">IF(ISNA(MATCH('Set-up'!$B$14,ForMonths,0))=TRUE,0,SUMIF(ForAll,$A31&amp;"*",OFFSET(Forecast!$C$4,1,MATCH('Set-up'!$B$14,ForMonths,0),ForRowCount,1)))</f>
        <v>0</v>
      </c>
      <c r="J31" s="41">
        <f ca="1">IF(ISNA(MATCH('Set-up'!$B$14,TBMonths,0))=TRUE,0,SUMIF(TBAll,$A31&amp;"*",OFFSET(TBCY!$C$4,1,MATCH('Set-up'!$B$14,TBMonths,0),TBRowCount,1)))</f>
        <v>0</v>
      </c>
      <c r="K31" s="41">
        <f t="shared" ca="1" si="3"/>
        <v>0</v>
      </c>
      <c r="L31" s="47">
        <f t="shared" ca="1" si="0"/>
        <v>0</v>
      </c>
      <c r="M31" s="41">
        <f ca="1">IF(ISNA(MATCH('Set-up'!$B$16,PYMonths,0))=TRUE,0,SUMIF(PYAll,$A31&amp;"*",OFFSET(TBPY!$D$4,1,MATCH('Set-up'!$B$16,PYMonths,0),PYRowCount,1)))</f>
        <v>0</v>
      </c>
    </row>
    <row r="32" spans="1:13" ht="15" customHeight="1" x14ac:dyDescent="0.35">
      <c r="B32" s="9" t="s">
        <v>233</v>
      </c>
      <c r="C32" s="35">
        <f ca="1">SUM(C7,C9,-C10)</f>
        <v>0</v>
      </c>
      <c r="D32" s="35">
        <f ca="1">SUM(D7,D9,-D10)</f>
        <v>0</v>
      </c>
      <c r="E32" s="35">
        <f ca="1">D32-C32</f>
        <v>0</v>
      </c>
      <c r="F32" s="42">
        <f t="shared" ca="1" si="1"/>
        <v>0</v>
      </c>
      <c r="G32" s="35">
        <f ca="1">SUM(G7,G9,-G10)</f>
        <v>0</v>
      </c>
      <c r="H32" s="89"/>
      <c r="I32" s="37">
        <f ca="1">SUM(I7,I9,-I10)</f>
        <v>0</v>
      </c>
      <c r="J32" s="37">
        <f ca="1">SUM(J7,J9,-J10)</f>
        <v>0</v>
      </c>
      <c r="K32" s="37">
        <f ca="1">J32-I32</f>
        <v>0</v>
      </c>
      <c r="L32" s="48">
        <f t="shared" ca="1" si="0"/>
        <v>0</v>
      </c>
      <c r="M32" s="37">
        <f ca="1">SUM(M7,M9,-M10)</f>
        <v>0</v>
      </c>
    </row>
    <row r="33" spans="1:14" ht="15" customHeight="1" x14ac:dyDescent="0.35">
      <c r="A33" s="19" t="s">
        <v>102</v>
      </c>
      <c r="B33" s="9" t="s">
        <v>9</v>
      </c>
      <c r="C33" s="35">
        <f ca="1">IF(ISNA(MATCH('Set-up'!$B$14,ForMonths,0))=TRUE,0,SUMIF(ForAll,$A33&amp;"*",OFFSET(Forecast!$C$4,1,MATCH('Set-up'!$B$14,ForMonths,0),ForRowCount,1)))-IF(ISNA(MATCH('Set-up'!$B$14,ForMonths,0))=TRUE,0,SUMIF(ForAll,$A33&amp;"*",OFFSET(Forecast!$C$4,1,MATCH('Set-up'!$B$14,ForMonths,0)-1,ForRowCount,1)))</f>
        <v>0</v>
      </c>
      <c r="D33" s="35">
        <f ca="1">IF(ISNA(MATCH('Set-up'!$B$14,TBMonths,0))=TRUE,0,SUMIF(TBAll,$A33&amp;"*",OFFSET(TBCY!$C$4,1,MATCH('Set-up'!$B$14,TBMonths,0),TBRowCount,1)))-IF(ISNA(MATCH('Set-up'!$B$14,TBMonths,0))=TRUE,0,SUMIF(TBAll,$A33&amp;"*",OFFSET(TBCY!$C$4,1,MATCH('Set-up'!$B$14,TBMonths,0)-1,TBRowCount,1)))</f>
        <v>0</v>
      </c>
      <c r="E33" s="35">
        <f ca="1">C33-D33</f>
        <v>0</v>
      </c>
      <c r="F33" s="42">
        <f t="shared" ca="1" si="1"/>
        <v>0</v>
      </c>
      <c r="G33" s="35">
        <f ca="1">IF(ISNA(MATCH('Set-up'!$B$16,PYMonths,0))=TRUE,0,SUMIF(PYAll,$A33&amp;"*",OFFSET(TBPY!$D$4,1,MATCH('Set-up'!$B$16,PYMonths,0),PYRowCount,1)))-IF(ISNA(MATCH('Set-up'!$B$16,PYMonths,0))=TRUE,0,SUMIF(PYAll,$A33&amp;"*",OFFSET(TBPY!$D$4,1,MATCH('Set-up'!$B$16,PYMonths,0)-1,PYRowCount,1)))</f>
        <v>0</v>
      </c>
      <c r="I33" s="37">
        <f ca="1">IF(ISNA(MATCH('Set-up'!$B$14,ForMonths,0))=TRUE,0,SUMIF(ForAll,$A33&amp;"*",OFFSET(Forecast!$C$4,1,MATCH('Set-up'!$B$14,ForMonths,0),ForRowCount,1)))</f>
        <v>0</v>
      </c>
      <c r="J33" s="37">
        <f ca="1">IF(ISNA(MATCH('Set-up'!$B$14,TBMonths,0))=TRUE,0,SUMIF(TBAll,$A33&amp;"*",OFFSET(TBCY!$C$4,1,MATCH('Set-up'!$B$14,TBMonths,0),TBRowCount,1)))</f>
        <v>0</v>
      </c>
      <c r="K33" s="37">
        <f ca="1">I33-J33</f>
        <v>0</v>
      </c>
      <c r="L33" s="48">
        <f t="shared" ca="1" si="0"/>
        <v>0</v>
      </c>
      <c r="M33" s="37">
        <f ca="1">IF(ISNA(MATCH('Set-up'!$B$16,PYMonths,0))=TRUE,0,SUMIF(PYAll,$A33&amp;"*",OFFSET(TBPY!$D$4,1,MATCH('Set-up'!$B$16,PYMonths,0),PYRowCount,1)))</f>
        <v>0</v>
      </c>
    </row>
    <row r="34" spans="1:14" ht="15" customHeight="1" x14ac:dyDescent="0.35">
      <c r="B34" s="9" t="s">
        <v>122</v>
      </c>
      <c r="C34" s="38">
        <f ca="1">SUM(C32,-C33)</f>
        <v>0</v>
      </c>
      <c r="D34" s="38">
        <f ca="1">SUM(D32,-D33)</f>
        <v>0</v>
      </c>
      <c r="E34" s="38">
        <f ca="1">SUM(E32:E33)</f>
        <v>0</v>
      </c>
      <c r="F34" s="43">
        <f t="shared" ca="1" si="1"/>
        <v>0</v>
      </c>
      <c r="G34" s="38">
        <f ca="1">SUM(G32,-G33)</f>
        <v>0</v>
      </c>
      <c r="H34" s="89"/>
      <c r="I34" s="38">
        <f ca="1">SUM(I32,-I33)</f>
        <v>0</v>
      </c>
      <c r="J34" s="38">
        <f ca="1">SUM(J32,-J33)</f>
        <v>0</v>
      </c>
      <c r="K34" s="38">
        <f ca="1">SUM(K32:K33)</f>
        <v>0</v>
      </c>
      <c r="L34" s="43">
        <f t="shared" ca="1" si="0"/>
        <v>0</v>
      </c>
      <c r="M34" s="38">
        <f ca="1">SUM(M32,-M33)</f>
        <v>0</v>
      </c>
    </row>
    <row r="35" spans="1:14" ht="15" customHeight="1" x14ac:dyDescent="0.35">
      <c r="A35" s="19" t="s">
        <v>103</v>
      </c>
      <c r="B35" s="9" t="s">
        <v>10</v>
      </c>
      <c r="C35" s="35">
        <f ca="1">IF(ISNA(MATCH('Set-up'!$B$14,ForMonths,0))=TRUE,0,SUMIF(ForAll,$A35&amp;"*",OFFSET(Forecast!$C$4,1,MATCH('Set-up'!$B$14,ForMonths,0),ForRowCount,1)))-IF(ISNA(MATCH('Set-up'!$B$14,ForMonths,0))=TRUE,0,SUMIF(ForAll,$A35&amp;"*",OFFSET(Forecast!$C$4,1,MATCH('Set-up'!$B$14,ForMonths,0)-1,ForRowCount,1)))</f>
        <v>0</v>
      </c>
      <c r="D35" s="35">
        <f ca="1">IF(ISNA(MATCH('Set-up'!$B$14,TBMonths,0))=TRUE,0,SUMIF(TBAll,$A35&amp;"*",OFFSET(TBCY!$C$4,1,MATCH('Set-up'!$B$14,TBMonths,0),TBRowCount,1)))-IF(ISNA(MATCH('Set-up'!$B$14,TBMonths,0))=TRUE,0,SUMIF(TBAll,$A35&amp;"*",OFFSET(TBCY!$C$4,1,MATCH('Set-up'!$B$14,TBMonths,0)-1,TBRowCount,1)))</f>
        <v>0</v>
      </c>
      <c r="E35" s="35">
        <f ca="1">C35-D35</f>
        <v>0</v>
      </c>
      <c r="F35" s="42">
        <f t="shared" ca="1" si="1"/>
        <v>0</v>
      </c>
      <c r="G35" s="35">
        <f ca="1">IF(ISNA(MATCH('Set-up'!$B$16,PYMonths,0))=TRUE,0,SUMIF(PYAll,$A35&amp;"*",OFFSET(TBPY!$D$4,1,MATCH('Set-up'!$B$16,PYMonths,0),PYRowCount,1)))-IF(ISNA(MATCH('Set-up'!$B$16,PYMonths,0))=TRUE,0,SUMIF(PYAll,$A35&amp;"*",OFFSET(TBPY!$D$4,1,MATCH('Set-up'!$B$16,PYMonths,0)-1,PYRowCount,1)))</f>
        <v>0</v>
      </c>
      <c r="I35" s="37">
        <f ca="1">IF(ISNA(MATCH('Set-up'!$B$14,ForMonths,0))=TRUE,0,SUMIF(ForAll,$A35&amp;"*",OFFSET(Forecast!$C$4,1,MATCH('Set-up'!$B$14,ForMonths,0),ForRowCount,1)))</f>
        <v>0</v>
      </c>
      <c r="J35" s="37">
        <f ca="1">IF(ISNA(MATCH('Set-up'!$B$14,TBMonths,0))=TRUE,0,SUMIF(TBAll,$A35&amp;"*",OFFSET(TBCY!$C$4,1,MATCH('Set-up'!$B$14,TBMonths,0),TBRowCount,1)))</f>
        <v>0</v>
      </c>
      <c r="K35" s="37">
        <f ca="1">I35-J35</f>
        <v>0</v>
      </c>
      <c r="L35" s="48">
        <f t="shared" ca="1" si="0"/>
        <v>0</v>
      </c>
      <c r="M35" s="37">
        <f ca="1">IF(ISNA(MATCH('Set-up'!$B$16,PYMonths,0))=TRUE,0,SUMIF(PYAll,$A35&amp;"*",OFFSET(TBPY!$D$4,1,MATCH('Set-up'!$B$16,PYMonths,0),PYRowCount,1)))</f>
        <v>0</v>
      </c>
    </row>
    <row r="36" spans="1:14" ht="15" customHeight="1" x14ac:dyDescent="0.35">
      <c r="B36" s="9" t="s">
        <v>243</v>
      </c>
      <c r="C36" s="38">
        <f ca="1">SUM(C34,-C35)</f>
        <v>0</v>
      </c>
      <c r="D36" s="38">
        <f ca="1">SUM(D34,-D35)</f>
        <v>0</v>
      </c>
      <c r="E36" s="38">
        <f ca="1">SUM(E34:E35)</f>
        <v>0</v>
      </c>
      <c r="F36" s="43">
        <f t="shared" ca="1" si="1"/>
        <v>0</v>
      </c>
      <c r="G36" s="38">
        <f ca="1">SUM(G34,-G35)</f>
        <v>0</v>
      </c>
      <c r="I36" s="38">
        <f ca="1">SUM(I34,-I35)</f>
        <v>0</v>
      </c>
      <c r="J36" s="38">
        <f ca="1">SUM(J34,-J35)</f>
        <v>0</v>
      </c>
      <c r="K36" s="38">
        <f ca="1">SUM(K34:K35)</f>
        <v>0</v>
      </c>
      <c r="L36" s="43">
        <f t="shared" ca="1" si="0"/>
        <v>0</v>
      </c>
      <c r="M36" s="38">
        <f ca="1">SUM(M34,-M35)</f>
        <v>0</v>
      </c>
    </row>
    <row r="37" spans="1:14" ht="15" customHeight="1" x14ac:dyDescent="0.35">
      <c r="A37" s="19" t="s">
        <v>118</v>
      </c>
      <c r="B37" s="9" t="s">
        <v>241</v>
      </c>
      <c r="C37" s="35">
        <f ca="1">-IF(ISNA(MATCH('Set-up'!$B$14,ForMonths,0))=TRUE,0,SUMIF(ForAll,$A37&amp;"*",OFFSET(Forecast!$C$4,1,MATCH('Set-up'!$B$14,ForMonths,0),ForRowCount,1))+SUMIF(ForAll,"I-*",OFFSET(Forecast!$C$4,1,MATCH('Set-up'!$B$14,ForMonths,0)-1,ForRowCount,1)))</f>
        <v>0</v>
      </c>
      <c r="D37" s="35">
        <f ca="1">-IF(ISNA(MATCH('Set-up'!$B$14,TBMonths,0))=TRUE,0,SUMIF(TBAll,$A37&amp;"*",OFFSET(TBCY!$C$4,1,MATCH('Set-up'!$B$14,TBMonths,0),TBRowCount,1))+SUMIF(TBAll,"I-*",OFFSET(TBCY!$C$4,1,MATCH('Set-up'!$B$14,TBMonths,0)-1,TBRowCount,1)))</f>
        <v>0</v>
      </c>
      <c r="E37" s="35">
        <f ca="1">D37-C37</f>
        <v>0</v>
      </c>
      <c r="F37" s="42">
        <f t="shared" ca="1" si="1"/>
        <v>0</v>
      </c>
      <c r="G37" s="35">
        <f ca="1">-IF(ISNA(MATCH('Set-up'!$B$16,PYMonths,0))=TRUE,0,SUMIF(PYAll,$A37&amp;"*",OFFSET(TBPY!$D$4,1,MATCH('Set-up'!$B$16,PYMonths,0),PYRowCount,1))+SUMIF(PYAll,"I-*",OFFSET(TBPY!$D$4,1,MATCH('Set-up'!$B$16,PYMonths,0)-1,PYRowCount,1)))</f>
        <v>0</v>
      </c>
      <c r="I37" s="37">
        <f ca="1">-IF(ISNA(MATCH('Set-up'!$B$14,ForMonths,0))=TRUE,0,SUMIF(ForAll,$A37&amp;"*",OFFSET(Forecast!$C$4,1,MATCH('Set-up'!$B$14,ForMonths,0),ForRowCount,1)))</f>
        <v>0</v>
      </c>
      <c r="J37" s="37">
        <f ca="1">-IF(ISNA(MATCH('Set-up'!$B$14,TBMonths,0))=TRUE,0,SUMIF(TBAll,$A37&amp;"*",OFFSET(TBCY!$C$4,1,MATCH('Set-up'!$B$14,TBMonths,0),TBRowCount,1)))</f>
        <v>0</v>
      </c>
      <c r="K37" s="37">
        <f ca="1">J37-I37</f>
        <v>0</v>
      </c>
      <c r="L37" s="48">
        <f t="shared" ca="1" si="0"/>
        <v>0</v>
      </c>
      <c r="M37" s="37">
        <f ca="1">-IF(ISNA(MATCH('Set-up'!$B$16,PYMonths,0))=TRUE,0,SUMIF(PYAll,$A37&amp;"*",OFFSET(TBPY!$D$4,1,MATCH('Set-up'!$B$16,PYMonths,0),PYRowCount,1)))</f>
        <v>0</v>
      </c>
    </row>
    <row r="38" spans="1:14" ht="15" customHeight="1" x14ac:dyDescent="0.35">
      <c r="A38" s="19" t="s">
        <v>104</v>
      </c>
      <c r="B38" s="9" t="s">
        <v>12</v>
      </c>
      <c r="C38" s="35">
        <f ca="1">IF(ISNA(MATCH('Set-up'!$B$14,ForMonths,0))=TRUE,0,SUMIF(ForAll,$A38&amp;"*",OFFSET(Forecast!$C$4,1,MATCH('Set-up'!$B$14,ForMonths,0),ForRowCount,1)))-IF(ISNA(MATCH('Set-up'!$B$14,ForMonths,0))=TRUE,0,SUMIF(ForAll,$A38&amp;"*",OFFSET(Forecast!$C$4,1,MATCH('Set-up'!$B$14,ForMonths,0)-1,ForRowCount,1)))</f>
        <v>0</v>
      </c>
      <c r="D38" s="35">
        <f ca="1">IF(ISNA(MATCH('Set-up'!$B$14,TBMonths,0))=TRUE,0,SUMIF(TBAll,$A38&amp;"*",OFFSET(TBCY!$C$4,1,MATCH('Set-up'!$B$14,TBMonths,0),TBRowCount,1)))-IF(ISNA(MATCH('Set-up'!$B$14,TBMonths,0))=TRUE,0,SUMIF(TBAll,$A38&amp;"*",OFFSET(TBCY!$C$4,1,MATCH('Set-up'!$B$14,TBMonths,0)-1,TBRowCount,1)))</f>
        <v>0</v>
      </c>
      <c r="E38" s="35">
        <f ca="1">C38-D38</f>
        <v>0</v>
      </c>
      <c r="F38" s="42">
        <f t="shared" ca="1" si="1"/>
        <v>0</v>
      </c>
      <c r="G38" s="35">
        <f ca="1">IF(ISNA(MATCH('Set-up'!$B$16,PYMonths,0))=TRUE,0,SUMIF(PYAll,$A38&amp;"*",OFFSET(TBPY!$D$4,1,MATCH('Set-up'!$B$16,PYMonths,0),PYRowCount,1)))-IF(ISNA(MATCH('Set-up'!$B$16,PYMonths,0))=TRUE,0,SUMIF(PYAll,$A38&amp;"*",OFFSET(TBPY!$D$4,1,MATCH('Set-up'!$B$16,PYMonths,0)-1,PYRowCount,1)))</f>
        <v>0</v>
      </c>
      <c r="I38" s="37">
        <f ca="1">IF(ISNA(MATCH('Set-up'!$B$14,ForMonths,0))=TRUE,0,SUMIF(ForAll,$A38&amp;"*",OFFSET(Forecast!$C$4,1,MATCH('Set-up'!$B$14,ForMonths,0),ForRowCount,1)))</f>
        <v>0</v>
      </c>
      <c r="J38" s="37">
        <f ca="1">IF(ISNA(MATCH('Set-up'!$B$14,TBMonths,0))=TRUE,0,SUMIF(TBAll,$A38&amp;"*",OFFSET(TBCY!$C$4,1,MATCH('Set-up'!$B$14,TBMonths,0),TBRowCount,1)))</f>
        <v>0</v>
      </c>
      <c r="K38" s="37">
        <f ca="1">I38-J38</f>
        <v>0</v>
      </c>
      <c r="L38" s="48">
        <f t="shared" ca="1" si="0"/>
        <v>0</v>
      </c>
      <c r="M38" s="37">
        <f ca="1">IF(ISNA(MATCH('Set-up'!$B$16,PYMonths,0))=TRUE,0,SUMIF(PYAll,$A38&amp;"*",OFFSET(TBPY!$D$4,1,MATCH('Set-up'!$B$16,PYMonths,0),PYRowCount,1)))</f>
        <v>0</v>
      </c>
    </row>
    <row r="39" spans="1:14" s="32" customFormat="1" ht="15" customHeight="1" thickBot="1" x14ac:dyDescent="0.45">
      <c r="A39" s="34"/>
      <c r="B39" s="30" t="s">
        <v>242</v>
      </c>
      <c r="C39" s="50">
        <f ca="1">SUM(C36,C37,-C38)</f>
        <v>0</v>
      </c>
      <c r="D39" s="50">
        <f ca="1">SUM(D36,D37,-D38)</f>
        <v>0</v>
      </c>
      <c r="E39" s="50">
        <f ca="1">SUM(E36:E38)</f>
        <v>0</v>
      </c>
      <c r="F39" s="51">
        <f t="shared" ca="1" si="1"/>
        <v>0</v>
      </c>
      <c r="G39" s="50">
        <f ca="1">SUM(G36,G37,-G38)</f>
        <v>0</v>
      </c>
      <c r="H39" s="91"/>
      <c r="I39" s="50">
        <f ca="1">SUM(I36,I37,-I38)</f>
        <v>0</v>
      </c>
      <c r="J39" s="50">
        <f ca="1">SUM(J36,J37,-J38)</f>
        <v>0</v>
      </c>
      <c r="K39" s="50">
        <f ca="1">SUM(K36:K38)</f>
        <v>0</v>
      </c>
      <c r="L39" s="51">
        <f t="shared" ca="1" si="0"/>
        <v>0</v>
      </c>
      <c r="M39" s="50">
        <f ca="1">SUM(M36,M37,-M38)</f>
        <v>0</v>
      </c>
      <c r="N39" s="31"/>
    </row>
    <row r="40" spans="1:14" ht="15" customHeight="1" thickTop="1" x14ac:dyDescent="0.35">
      <c r="I40" s="37"/>
      <c r="J40" s="37"/>
      <c r="K40" s="37"/>
      <c r="L40" s="48"/>
      <c r="M40" s="37"/>
    </row>
  </sheetData>
  <mergeCells count="2">
    <mergeCell ref="C3:G3"/>
    <mergeCell ref="I3:M3"/>
  </mergeCells>
  <pageMargins left="0.55118110236220474" right="0.55118110236220474" top="0.55118110236220474" bottom="0.55118110236220474" header="0.39370078740157483" footer="0.39370078740157483"/>
  <pageSetup paperSize="9" scale="81" orientation="landscape" r:id="rId1"/>
  <headerFooter>
    <oddFooter>&amp;C&amp;9Page &amp;P of &amp;N</oddFooter>
  </headerFooter>
  <ignoredErrors>
    <ignoredError sqref="C32:E32 C34:E34 I32:K32 I34:K34 C35:E35 I35:K35 G32 G34:G35 M32 M34:M3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zoomScale="95" zoomScaleNormal="95" workbookViewId="0">
      <pane ySplit="4" topLeftCell="A5" activePane="bottomLeft" state="frozen"/>
      <selection activeCell="B4" sqref="B4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63" customWidth="1"/>
    <col min="3" max="5" width="12.73046875" style="35" customWidth="1"/>
    <col min="6" max="6" width="12.73046875" style="42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2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60" t="str">
        <f>'Set-up'!$B$4</f>
        <v>ABC Trading (Pty) Limited</v>
      </c>
    </row>
    <row r="2" spans="1:14" s="25" customFormat="1" ht="15.95" customHeight="1" x14ac:dyDescent="0.35">
      <c r="A2" s="33"/>
      <c r="B2" s="77" t="str">
        <f>"Statement of cash flows for the period ended "&amp;TEXT('Set-up'!$B$14,"dd mmmm yyyy")</f>
        <v>Statement of cash flows for the period ended 28 February 2017</v>
      </c>
      <c r="C2" s="78"/>
      <c r="D2" s="78"/>
      <c r="E2" s="78"/>
      <c r="F2" s="79"/>
      <c r="G2" s="78"/>
      <c r="H2" s="92"/>
      <c r="I2" s="78"/>
      <c r="J2" s="78"/>
      <c r="K2" s="78"/>
      <c r="L2" s="79"/>
      <c r="M2" s="78"/>
      <c r="N2" s="24"/>
    </row>
    <row r="3" spans="1:14" s="25" customFormat="1" ht="15.95" customHeight="1" x14ac:dyDescent="0.35">
      <c r="A3" s="33"/>
      <c r="B3" s="61" t="s">
        <v>128</v>
      </c>
      <c r="C3" s="107" t="s">
        <v>240</v>
      </c>
      <c r="D3" s="108"/>
      <c r="E3" s="108"/>
      <c r="F3" s="108"/>
      <c r="G3" s="109"/>
      <c r="I3" s="107" t="s">
        <v>234</v>
      </c>
      <c r="J3" s="108"/>
      <c r="K3" s="108"/>
      <c r="L3" s="108"/>
      <c r="M3" s="109"/>
      <c r="N3" s="24"/>
    </row>
    <row r="4" spans="1:14" s="21" customFormat="1" ht="15.95" customHeight="1" x14ac:dyDescent="0.35">
      <c r="A4" s="72"/>
      <c r="B4" s="62"/>
      <c r="C4" s="65" t="s">
        <v>134</v>
      </c>
      <c r="D4" s="65" t="s">
        <v>133</v>
      </c>
      <c r="E4" s="65" t="s">
        <v>135</v>
      </c>
      <c r="F4" s="66" t="s">
        <v>136</v>
      </c>
      <c r="G4" s="36" t="s">
        <v>249</v>
      </c>
      <c r="H4" s="3"/>
      <c r="I4" s="65" t="s">
        <v>134</v>
      </c>
      <c r="J4" s="65" t="s">
        <v>133</v>
      </c>
      <c r="K4" s="65" t="s">
        <v>135</v>
      </c>
      <c r="L4" s="66" t="s">
        <v>136</v>
      </c>
      <c r="M4" s="36" t="s">
        <v>249</v>
      </c>
      <c r="N4" s="20"/>
    </row>
    <row r="5" spans="1:14" s="32" customFormat="1" ht="15" customHeight="1" x14ac:dyDescent="0.4">
      <c r="A5" s="34"/>
      <c r="B5" s="64" t="s">
        <v>39</v>
      </c>
      <c r="C5" s="52"/>
      <c r="D5" s="52"/>
      <c r="E5" s="52"/>
      <c r="F5" s="56"/>
      <c r="G5" s="52"/>
      <c r="H5" s="91"/>
      <c r="I5" s="52"/>
      <c r="J5" s="52"/>
      <c r="K5" s="52"/>
      <c r="L5" s="56"/>
      <c r="M5" s="52"/>
      <c r="N5" s="31"/>
    </row>
    <row r="6" spans="1:14" ht="15" customHeight="1" x14ac:dyDescent="0.35">
      <c r="B6" s="63" t="s">
        <v>243</v>
      </c>
      <c r="C6" s="37">
        <f ca="1">IS!C36</f>
        <v>0</v>
      </c>
      <c r="D6" s="37">
        <f ca="1">IS!D36</f>
        <v>0</v>
      </c>
      <c r="E6" s="37">
        <f ca="1">D6-C6</f>
        <v>0</v>
      </c>
      <c r="F6" s="48">
        <f t="shared" ref="F6:F24" ca="1" si="0">IF(C6=0,IF(E6=0,0,-1),E6/ABS(C6))</f>
        <v>0</v>
      </c>
      <c r="G6" s="37">
        <f ca="1">IS!G36</f>
        <v>0</v>
      </c>
      <c r="I6" s="35">
        <f ca="1">IS!I36</f>
        <v>0</v>
      </c>
      <c r="J6" s="35">
        <f ca="1">IS!J36</f>
        <v>0</v>
      </c>
      <c r="K6" s="35">
        <f t="shared" ref="K6:K20" ca="1" si="1">J6-I6</f>
        <v>0</v>
      </c>
      <c r="L6" s="42">
        <f t="shared" ref="L6:L24" ca="1" si="2">IF(I6=0,IF(K6=0,0,-1),K6/ABS(I6))</f>
        <v>0</v>
      </c>
      <c r="M6" s="35">
        <f ca="1">IS!M36</f>
        <v>0</v>
      </c>
    </row>
    <row r="7" spans="1:14" ht="15" customHeight="1" x14ac:dyDescent="0.35">
      <c r="B7" s="63" t="s">
        <v>139</v>
      </c>
      <c r="C7" s="37">
        <f ca="1">IS!C33</f>
        <v>0</v>
      </c>
      <c r="D7" s="37">
        <f ca="1">IS!D33</f>
        <v>0</v>
      </c>
      <c r="E7" s="37">
        <f t="shared" ref="E7:E20" ca="1" si="3">D7-C7</f>
        <v>0</v>
      </c>
      <c r="F7" s="48">
        <f t="shared" ca="1" si="0"/>
        <v>0</v>
      </c>
      <c r="G7" s="37">
        <f ca="1">IS!G33</f>
        <v>0</v>
      </c>
      <c r="I7" s="35">
        <f ca="1">IS!I33</f>
        <v>0</v>
      </c>
      <c r="J7" s="35">
        <f ca="1">IS!J33</f>
        <v>0</v>
      </c>
      <c r="K7" s="35">
        <f t="shared" ca="1" si="1"/>
        <v>0</v>
      </c>
      <c r="L7" s="42">
        <f t="shared" ca="1" si="2"/>
        <v>0</v>
      </c>
      <c r="M7" s="35">
        <f ca="1">IS!M33</f>
        <v>0</v>
      </c>
    </row>
    <row r="8" spans="1:14" ht="15" customHeight="1" x14ac:dyDescent="0.35">
      <c r="B8" s="63" t="s">
        <v>140</v>
      </c>
      <c r="C8" s="37">
        <f ca="1">IS!C35</f>
        <v>0</v>
      </c>
      <c r="D8" s="37">
        <f ca="1">IS!D35</f>
        <v>0</v>
      </c>
      <c r="E8" s="37">
        <f t="shared" ca="1" si="3"/>
        <v>0</v>
      </c>
      <c r="F8" s="48">
        <f t="shared" ca="1" si="0"/>
        <v>0</v>
      </c>
      <c r="G8" s="37">
        <f ca="1">IS!G35</f>
        <v>0</v>
      </c>
      <c r="I8" s="35">
        <f ca="1">IS!I35</f>
        <v>0</v>
      </c>
      <c r="J8" s="35">
        <f ca="1">IS!J35</f>
        <v>0</v>
      </c>
      <c r="K8" s="35">
        <f t="shared" ca="1" si="1"/>
        <v>0</v>
      </c>
      <c r="L8" s="42">
        <f t="shared" ca="1" si="2"/>
        <v>0</v>
      </c>
      <c r="M8" s="35">
        <f ca="1">IS!M35</f>
        <v>0</v>
      </c>
    </row>
    <row r="9" spans="1:14" ht="15" customHeight="1" x14ac:dyDescent="0.35">
      <c r="A9" s="19" t="s">
        <v>262</v>
      </c>
      <c r="B9" s="63" t="s">
        <v>259</v>
      </c>
      <c r="C9" s="37">
        <f ca="1">IF(ISNA(MATCH('Set-up'!$B$14,ForMonths,0))=TRUE,0,SUMIF(ForAll,$A9&amp;"*",OFFSET(Forecast!$C$4,1,MATCH('Set-up'!$B$14,ForMonths,0),ForRowCount,1)))-IF(ISNA(MATCH('Set-up'!$B$14,ForMonths,0))=TRUE,0,SUMIF(ForAll,$A9&amp;"*",OFFSET(Forecast!$C$4,1,MATCH('Set-up'!$B$14,ForMonths,0)-1,ForRowCount,1)))</f>
        <v>0</v>
      </c>
      <c r="D9" s="37">
        <f ca="1">IF(ISNA(MATCH('Set-up'!$B$14,TBMonths,0))=TRUE,0,SUMIF(TBAll,$A9&amp;"*",OFFSET(TBCY!$C$4,1,MATCH('Set-up'!$B$14,TBMonths,0),TBRowCount,1)))-IF(ISNA(MATCH('Set-up'!$B$14,TBMonths,0))=TRUE,0,SUMIF(TBAll,$A9&amp;"*",OFFSET(TBCY!$C$4,1,MATCH('Set-up'!$B$14,TBMonths,0)-1,TBRowCount,1)))</f>
        <v>0</v>
      </c>
      <c r="E9" s="37">
        <f t="shared" ca="1" si="3"/>
        <v>0</v>
      </c>
      <c r="F9" s="48">
        <f t="shared" ca="1" si="0"/>
        <v>0</v>
      </c>
      <c r="G9" s="37">
        <f ca="1">IF(ISNA(MATCH('Set-up'!$B$16,PYMonths,0))=TRUE,0,SUMIF(PYAll,$A9&amp;"*",OFFSET(TBPY!$D$4,1,MATCH('Set-up'!$B$16,PYMonths,0),PYRowCount,1)))-IF(ISNA(MATCH('Set-up'!$B$16,PYMonths,0))=TRUE,0,SUMIF(PYAll,$A9&amp;"*",OFFSET(TBPY!$D$4,1,MATCH('Set-up'!$B$16,PYMonths,0)-1,PYRowCount,1)))</f>
        <v>0</v>
      </c>
      <c r="I9" s="35">
        <f ca="1">IF(ISNA(MATCH('Set-up'!$B$14,ForMonths,0))=TRUE,0,SUMIF(ForAll,$A9&amp;"*",OFFSET(Forecast!$C$4,1,MATCH('Set-up'!$B$14,ForMonths,0),ForRowCount,1)))</f>
        <v>0</v>
      </c>
      <c r="J9" s="35">
        <f ca="1">IF(ISNA(MATCH('Set-up'!$B$14,TBMonths,0))=TRUE,0,SUMIF(TBAll,$A9&amp;"*",OFFSET(TBCY!$C$4,1,MATCH('Set-up'!$B$14,TBMonths,0),TBRowCount,1)))</f>
        <v>0</v>
      </c>
      <c r="K9" s="35">
        <f t="shared" ca="1" si="1"/>
        <v>0</v>
      </c>
      <c r="L9" s="42">
        <f t="shared" ca="1" si="2"/>
        <v>0</v>
      </c>
      <c r="M9" s="35">
        <f ca="1">IF(ISNA(MATCH('Set-up'!$B$16,PYMonths,0))=TRUE,0,SUMIF(PYAll,$A9&amp;"*",OFFSET(TBPY!$D$4,1,MATCH('Set-up'!$B$16,PYMonths,0),PYRowCount,1)))</f>
        <v>0</v>
      </c>
    </row>
    <row r="10" spans="1:14" ht="15" customHeight="1" x14ac:dyDescent="0.35">
      <c r="A10" s="19" t="s">
        <v>258</v>
      </c>
      <c r="B10" s="63" t="s">
        <v>141</v>
      </c>
      <c r="C10" s="37">
        <f ca="1">IF(ISNA(MATCH('Set-up'!$B$14,ForMonths,0))=TRUE,0,SUMIF(ForAll,$A10&amp;"*",OFFSET(Forecast!$C$4,1,MATCH('Set-up'!$B$14,ForMonths,0),ForRowCount,1)))-IF(ISNA(MATCH('Set-up'!$B$14,ForMonths,0))=TRUE,0,SUMIF(ForAll,$A10&amp;"*",OFFSET(Forecast!$C$4,1,MATCH('Set-up'!$B$14,ForMonths,0)-1,ForRowCount,1)))</f>
        <v>0</v>
      </c>
      <c r="D10" s="37">
        <f ca="1">IF(ISNA(MATCH('Set-up'!$B$14,TBMonths,0))=TRUE,0,SUMIF(TBAll,$A10&amp;"*",OFFSET(TBCY!$C$4,1,MATCH('Set-up'!$B$14,TBMonths,0),TBRowCount,1)))-IF(ISNA(MATCH('Set-up'!$B$14,TBMonths,0))=TRUE,0,SUMIF(TBAll,$A10&amp;"*",OFFSET(TBCY!$C$4,1,MATCH('Set-up'!$B$14,TBMonths,0)-1,TBRowCount,1)))</f>
        <v>0</v>
      </c>
      <c r="E10" s="37">
        <f t="shared" ca="1" si="3"/>
        <v>0</v>
      </c>
      <c r="F10" s="48">
        <f t="shared" ca="1" si="0"/>
        <v>0</v>
      </c>
      <c r="G10" s="37">
        <f ca="1">IF(ISNA(MATCH('Set-up'!$B$16,PYMonths,0))=TRUE,0,SUMIF(PYAll,$A10&amp;"*",OFFSET(TBPY!$D$4,1,MATCH('Set-up'!$B$16,PYMonths,0),PYRowCount,1)))-IF(ISNA(MATCH('Set-up'!$B$16,PYMonths,0))=TRUE,0,SUMIF(PYAll,$A10&amp;"*",OFFSET(TBPY!$D$4,1,MATCH('Set-up'!$B$16,PYMonths,0)-1,PYRowCount,1)))</f>
        <v>0</v>
      </c>
      <c r="I10" s="35">
        <f ca="1">IF(ISNA(MATCH('Set-up'!$B$14,ForMonths,0))=TRUE,0,SUMIF(ForAll,$A10&amp;"*",OFFSET(Forecast!$C$4,1,MATCH('Set-up'!$B$14,ForMonths,0),ForRowCount,1)))</f>
        <v>0</v>
      </c>
      <c r="J10" s="35">
        <f ca="1">IF(ISNA(MATCH('Set-up'!$B$14,TBMonths,0))=TRUE,0,SUMIF(TBAll,$A10&amp;"*",OFFSET(TBCY!$C$4,1,MATCH('Set-up'!$B$14,TBMonths,0),TBRowCount,1)))</f>
        <v>0</v>
      </c>
      <c r="K10" s="35">
        <f t="shared" ca="1" si="1"/>
        <v>0</v>
      </c>
      <c r="L10" s="42">
        <f t="shared" ca="1" si="2"/>
        <v>0</v>
      </c>
      <c r="M10" s="35">
        <f ca="1">IF(ISNA(MATCH('Set-up'!$B$16,PYMonths,0))=TRUE,0,SUMIF(PYAll,$A10&amp;"*",OFFSET(TBPY!$D$4,1,MATCH('Set-up'!$B$16,PYMonths,0),PYRowCount,1)))</f>
        <v>0</v>
      </c>
    </row>
    <row r="11" spans="1:14" ht="15" customHeight="1" x14ac:dyDescent="0.35">
      <c r="B11" s="63" t="s">
        <v>244</v>
      </c>
      <c r="C11" s="37"/>
      <c r="D11" s="37"/>
      <c r="E11" s="37"/>
      <c r="F11" s="48"/>
      <c r="G11" s="37"/>
    </row>
    <row r="12" spans="1:14" ht="15" customHeight="1" x14ac:dyDescent="0.35">
      <c r="A12" s="19" t="s">
        <v>217</v>
      </c>
      <c r="B12" s="63" t="s">
        <v>142</v>
      </c>
      <c r="C12" s="37">
        <f ca="1">IF(ISNA(MATCH('Set-up'!$B$14,ForMonths,0))=TRUE,0,SUMIF(ForAll,$A12&amp;"*",OFFSET(Forecast!$C$4,1,MATCH('Set-up'!$B$14,ForMonths,0),ForRowCount,1)))-IF(ISNA(MATCH('Set-up'!$B$14,ForMonths,0))=TRUE,0,SUMIF(ForAll,$A12&amp;"*",OFFSET(Forecast!$C$4,1,MATCH('Set-up'!$B$14,ForMonths,0)-1,ForRowCount,1)))</f>
        <v>0</v>
      </c>
      <c r="D12" s="37">
        <f ca="1">IF(ISNA(MATCH('Set-up'!$B$14,TBMonths,0))=TRUE,0,SUMIF(TBAll,$A12&amp;"*",OFFSET(TBCY!$C$4,1,MATCH('Set-up'!$B$14,TBMonths,0),TBRowCount,1)))-IF(ISNA(MATCH('Set-up'!$B$14,TBMonths,0))=TRUE,0,SUMIF(TBAll,$A12&amp;"*",OFFSET(TBCY!$C$4,1,MATCH('Set-up'!$B$14,TBMonths,0)-1,TBRowCount,1)))</f>
        <v>0</v>
      </c>
      <c r="E12" s="37">
        <f t="shared" ca="1" si="3"/>
        <v>0</v>
      </c>
      <c r="F12" s="48">
        <f t="shared" ca="1" si="0"/>
        <v>0</v>
      </c>
      <c r="G12" s="37">
        <f ca="1">IF(ISNA(MATCH('Set-up'!$B$16,PYMonths,0))=TRUE,0,SUMIF(PYAll,$A12&amp;"*",OFFSET(TBPY!$D$4,1,MATCH('Set-up'!$B$16,PYMonths,0),PYRowCount,1)))-IF(ISNA(MATCH('Set-up'!$B$16,PYMonths,0))=TRUE,0,SUMIF(PYAll,$A12&amp;"*",OFFSET(TBPY!$D$4,1,MATCH('Set-up'!$B$16,PYMonths,0)-1,PYRowCount,1)))</f>
        <v>0</v>
      </c>
      <c r="I12" s="35">
        <f ca="1">IF(ISNA(MATCH('Set-up'!$B$14,ForMonths,0))=TRUE,0,SUMIF(ForAll,$A12&amp;"*",OFFSET(Forecast!$C$4,1,MATCH('Set-up'!$B$14,ForMonths,0),ForRowCount,1)))</f>
        <v>0</v>
      </c>
      <c r="J12" s="35">
        <f ca="1">IF(ISNA(MATCH('Set-up'!$B$14,TBMonths,0))=TRUE,0,SUMIF(TBAll,$A12&amp;"*",OFFSET(TBCY!$C$4,1,MATCH('Set-up'!$B$14,TBMonths,0),TBRowCount,1)))</f>
        <v>0</v>
      </c>
      <c r="K12" s="35">
        <f t="shared" ca="1" si="1"/>
        <v>0</v>
      </c>
      <c r="L12" s="42">
        <f t="shared" ca="1" si="2"/>
        <v>0</v>
      </c>
      <c r="M12" s="35">
        <f ca="1">IF(ISNA(MATCH('Set-up'!$B$16,PYMonths,0))=TRUE,0,SUMIF(PYAll,$A12&amp;"*",OFFSET(TBPY!$D$4,1,MATCH('Set-up'!$B$16,PYMonths,0),PYRowCount,1)))</f>
        <v>0</v>
      </c>
    </row>
    <row r="13" spans="1:14" ht="15" customHeight="1" x14ac:dyDescent="0.35">
      <c r="A13" s="19" t="s">
        <v>253</v>
      </c>
      <c r="B13" s="63" t="s">
        <v>143</v>
      </c>
      <c r="C13" s="37">
        <f ca="1">IF(ISNA(MATCH('Set-up'!$B$14,ForMonths,0))=TRUE,0,SUMIF(ForAll,$A13&amp;"*",OFFSET(Forecast!$C$4,1,MATCH('Set-up'!$B$14,ForMonths,0),ForRowCount,1)))-IF(ISNA(MATCH('Set-up'!$B$14,ForMonths,0))=TRUE,0,SUMIF(ForAll,$A13&amp;"*",OFFSET(Forecast!$C$4,1,MATCH('Set-up'!$B$14,ForMonths,0)-1,ForRowCount,1)))</f>
        <v>0</v>
      </c>
      <c r="D13" s="37">
        <f ca="1">IF(ISNA(MATCH('Set-up'!$B$14,TBMonths,0))=TRUE,0,SUMIF(TBAll,$A13&amp;"*",OFFSET(TBCY!$C$4,1,MATCH('Set-up'!$B$14,TBMonths,0),TBRowCount,1)))-IF(ISNA(MATCH('Set-up'!$B$14,TBMonths,0))=TRUE,0,SUMIF(TBAll,$A13&amp;"*",OFFSET(TBCY!$C$4,1,MATCH('Set-up'!$B$14,TBMonths,0)-1,TBRowCount,1)))</f>
        <v>0</v>
      </c>
      <c r="E13" s="37">
        <f t="shared" ca="1" si="3"/>
        <v>0</v>
      </c>
      <c r="F13" s="48">
        <f t="shared" ca="1" si="0"/>
        <v>0</v>
      </c>
      <c r="G13" s="37">
        <f ca="1">IF(ISNA(MATCH('Set-up'!$B$16,PYMonths,0))=TRUE,0,SUMIF(PYAll,$A13&amp;"*",OFFSET(TBPY!$D$4,1,MATCH('Set-up'!$B$16,PYMonths,0),PYRowCount,1)))-IF(ISNA(MATCH('Set-up'!$B$16,PYMonths,0))=TRUE,0,SUMIF(PYAll,$A13&amp;"*",OFFSET(TBPY!$D$4,1,MATCH('Set-up'!$B$16,PYMonths,0)-1,PYRowCount,1)))</f>
        <v>0</v>
      </c>
      <c r="I13" s="35">
        <f ca="1">IF(ISNA(MATCH('Set-up'!$B$14,ForMonths,0))=TRUE,0,SUMIF(ForAll,$A13&amp;"*",OFFSET(Forecast!$C$4,1,MATCH('Set-up'!$B$14,ForMonths,0),ForRowCount,1)))</f>
        <v>0</v>
      </c>
      <c r="J13" s="35">
        <f ca="1">IF(ISNA(MATCH('Set-up'!$B$14,TBMonths,0))=TRUE,0,SUMIF(TBAll,$A13&amp;"*",OFFSET(TBCY!$C$4,1,MATCH('Set-up'!$B$14,TBMonths,0),TBRowCount,1)))</f>
        <v>0</v>
      </c>
      <c r="K13" s="35">
        <f t="shared" ca="1" si="1"/>
        <v>0</v>
      </c>
      <c r="L13" s="42">
        <f t="shared" ca="1" si="2"/>
        <v>0</v>
      </c>
      <c r="M13" s="35">
        <f ca="1">IF(ISNA(MATCH('Set-up'!$B$16,PYMonths,0))=TRUE,0,SUMIF(PYAll,$A13&amp;"*",OFFSET(TBPY!$D$4,1,MATCH('Set-up'!$B$16,PYMonths,0),PYRowCount,1)))</f>
        <v>0</v>
      </c>
    </row>
    <row r="14" spans="1:14" ht="15" customHeight="1" x14ac:dyDescent="0.35">
      <c r="A14" s="19" t="s">
        <v>116</v>
      </c>
      <c r="B14" s="63" t="s">
        <v>144</v>
      </c>
      <c r="C14" s="37">
        <f ca="1">BS!C34+IF(ISNA(MATCH('Set-up'!$B$14,ForMonths,0))=TRUE,0,IF(MATCH('Set-up'!$B$14,ForMonths,0)=1,SUMIF(PYAll,$A14&amp;"*",OFFSET(TBPY!$P$4,1,0,PYRowCount,1)),SUMIF(ForAll,$A14&amp;"*",OFFSET(Forecast!$C$4,1,MATCH('Set-up'!$B$14,ForMonths,0)-1,ForRowCount,1))))</f>
        <v>0</v>
      </c>
      <c r="D14" s="37">
        <f ca="1">BS!D34+IF(ISNA(MATCH('Set-up'!$B$14,TBMonths,0))=TRUE,0,IF(MATCH('Set-up'!$B$14,TBMonths,0)=1,SUMIF(PYAll,$A14&amp;"*",OFFSET(TBPY!$P$4,1,0,PYRowCount,1)),SUMIF(TBAll,$A14&amp;"*",OFFSET(TBCY!$C$4,1,MATCH('Set-up'!$B$14,TBMonths,0)-1,TBRowCount,1))))</f>
        <v>0</v>
      </c>
      <c r="E14" s="37">
        <f t="shared" ca="1" si="3"/>
        <v>0</v>
      </c>
      <c r="F14" s="48">
        <f t="shared" ca="1" si="0"/>
        <v>0</v>
      </c>
      <c r="G14" s="37">
        <f ca="1">BS!G34+IF(ISNA(MATCH('Set-up'!$B$16,PYMonths,0))=TRUE,0,SUMIF(PYAll,$A14&amp;"*",OFFSET(TBPY!$D$4,1,MATCH('Set-up'!$B$16,PYMonths,0)-1,PYRowCount,1)))</f>
        <v>0</v>
      </c>
      <c r="I14" s="35">
        <f ca="1">IF(ISNA(MATCH('Set-up'!$B$14,ForMonths,0))=TRUE,0,BS!I34+SUMIF(PYAll,$A14&amp;"*",OFFSET(TBPY!$P$4,1,0,PYRowCount,1)))</f>
        <v>0</v>
      </c>
      <c r="J14" s="35">
        <f ca="1">IF(ISNA(MATCH('Set-up'!$B$14,TBMonths,0))=TRUE,0,BS!J34+SUMIF(PYAll,$A14&amp;"*",OFFSET(TBPY!$P$4,1,0,PYRowCount,1)))</f>
        <v>0</v>
      </c>
      <c r="K14" s="35">
        <f ca="1">J14-I14</f>
        <v>0</v>
      </c>
      <c r="L14" s="42">
        <f ca="1">IF(I14=0,IF(K14=0,0,-1),K14/ABS(I14))</f>
        <v>0</v>
      </c>
      <c r="M14" s="35">
        <f ca="1">IF(ISNA(MATCH('Set-up'!$B$16,PYMonths,0))=TRUE,0,BS!M34+SUMIF(PYAll,$A14&amp;"*",OFFSET(TBPY!$D$4,1,0,PYRowCount,1)))</f>
        <v>0</v>
      </c>
    </row>
    <row r="15" spans="1:14" ht="15" customHeight="1" x14ac:dyDescent="0.35">
      <c r="B15" s="63" t="s">
        <v>40</v>
      </c>
      <c r="C15" s="37"/>
      <c r="D15" s="37"/>
      <c r="E15" s="37"/>
      <c r="F15" s="48"/>
      <c r="G15" s="37"/>
    </row>
    <row r="16" spans="1:14" ht="15" customHeight="1" x14ac:dyDescent="0.35">
      <c r="A16" s="19" t="s">
        <v>274</v>
      </c>
      <c r="B16" s="63" t="s">
        <v>145</v>
      </c>
      <c r="C16" s="37">
        <f ca="1">IF(ISNA(MATCH('Set-up'!$B$14,ForMonths,0))=TRUE,0,SUMIF(ForAll,$A16&amp;"*",OFFSET(Forecast!$C$4,1,MATCH('Set-up'!$B$14,ForMonths,0),ForRowCount,1)))-IF(ISNA(MATCH('Set-up'!$B$14,ForMonths,0))=TRUE,0,SUMIF(ForAll,$A16&amp;"*",OFFSET(Forecast!$C$4,1,MATCH('Set-up'!$B$14,ForMonths,0)-1,ForRowCount,1)))</f>
        <v>0</v>
      </c>
      <c r="D16" s="37">
        <f ca="1">IF(ISNA(MATCH('Set-up'!$B$14,TBMonths,0))=TRUE,0,SUMIF(TBAll,$A16&amp;"*",OFFSET(TBCY!$C$4,1,MATCH('Set-up'!$B$14,TBMonths,0),TBRowCount,1)))-IF(ISNA(MATCH('Set-up'!$B$14,TBMonths,0))=TRUE,0,SUMIF(TBAll,$A16&amp;"*",OFFSET(TBCY!$C$4,1,MATCH('Set-up'!$B$14,TBMonths,0)-1,TBRowCount,1)))</f>
        <v>0</v>
      </c>
      <c r="E16" s="37">
        <f t="shared" ca="1" si="3"/>
        <v>0</v>
      </c>
      <c r="F16" s="48">
        <f t="shared" ca="1" si="0"/>
        <v>0</v>
      </c>
      <c r="G16" s="37">
        <f ca="1">IF(ISNA(MATCH('Set-up'!$B$16,PYMonths,0))=TRUE,0,SUMIF(PYAll,$A16&amp;"*",OFFSET(TBPY!$D$4,1,MATCH('Set-up'!$B$16,PYMonths,0),PYRowCount,1)))-IF(ISNA(MATCH('Set-up'!$B$16,PYMonths,0))=TRUE,0,SUMIF(PYAll,$A16&amp;"*",OFFSET(TBPY!$D$4,1,MATCH('Set-up'!$B$16,PYMonths,0)-1,PYRowCount,1)))</f>
        <v>0</v>
      </c>
      <c r="I16" s="35">
        <f ca="1">IF(ISNA(MATCH('Set-up'!$B$14,ForMonths,0))=TRUE,0,SUMIF(ForAll,$A16&amp;"*",OFFSET(Forecast!$C$4,1,MATCH('Set-up'!$B$14,ForMonths,0),ForRowCount,1)))</f>
        <v>0</v>
      </c>
      <c r="J16" s="35">
        <f ca="1">IF(ISNA(MATCH('Set-up'!$B$14,TBMonths,0))=TRUE,0,SUMIF(TBAll,$A16&amp;"*",OFFSET(TBCY!$C$4,1,MATCH('Set-up'!$B$14,TBMonths,0),TBRowCount,1)))</f>
        <v>0</v>
      </c>
      <c r="K16" s="35">
        <f t="shared" ca="1" si="1"/>
        <v>0</v>
      </c>
      <c r="L16" s="42">
        <f t="shared" ca="1" si="2"/>
        <v>0</v>
      </c>
      <c r="M16" s="35">
        <f ca="1">IF(ISNA(MATCH('Set-up'!$B$16,PYMonths,0))=TRUE,0,SUMIF(PYAll,$A16&amp;"*",OFFSET(TBPY!$D$4,1,MATCH('Set-up'!$B$16,PYMonths,0),PYRowCount,1)))</f>
        <v>0</v>
      </c>
    </row>
    <row r="17" spans="1:14" ht="15" customHeight="1" x14ac:dyDescent="0.35">
      <c r="B17" s="63" t="s">
        <v>254</v>
      </c>
      <c r="C17" s="37"/>
      <c r="D17" s="37"/>
      <c r="E17" s="37"/>
      <c r="F17" s="48"/>
      <c r="G17" s="37"/>
    </row>
    <row r="18" spans="1:14" ht="15" customHeight="1" x14ac:dyDescent="0.35">
      <c r="A18" s="19" t="s">
        <v>105</v>
      </c>
      <c r="B18" s="63" t="s">
        <v>245</v>
      </c>
      <c r="C18" s="37">
        <f ca="1">IF(ISNA(MATCH('Set-up'!$B$14,ForMonths,0))=TRUE,0,IF(MATCH('Set-up'!$B$14,ForMonths,0)=1,SUMIF(PYAll,$A18&amp;"*",OFFSET(TBPY!$P$4,1,0,PYRowCount,1)),SUMIF(ForAll,$A18&amp;"*",OFFSET(Forecast!$C$4,1,MATCH('Set-up'!$B$14,ForMonths,0)-1,ForRowCount,1))))-BS!C13</f>
        <v>0</v>
      </c>
      <c r="D18" s="37">
        <f ca="1">IF(ISNA(MATCH('Set-up'!$B$14,TBMonths,0))=TRUE,0,IF(MATCH('Set-up'!$B$14,TBMonths,0)=1,SUMIF(PYAll,$A18&amp;"*",OFFSET(TBPY!$P$4,1,0,PYRowCount,1)),SUMIF(TBAll,$A18&amp;"*",OFFSET(TBCY!$C$4,1,MATCH('Set-up'!$B$14,TBMonths,0)-1,TBRowCount,1))))-BS!D13</f>
        <v>0</v>
      </c>
      <c r="E18" s="37">
        <f t="shared" ca="1" si="3"/>
        <v>0</v>
      </c>
      <c r="F18" s="48">
        <f t="shared" ca="1" si="0"/>
        <v>0</v>
      </c>
      <c r="G18" s="37">
        <f ca="1">IF(ISNA(MATCH('Set-up'!$B$16,PYMonths,0))=TRUE,0,SUMIF(PYAll,$A18&amp;"*",OFFSET(TBPY!$D$4,1,MATCH('Set-up'!$B$16,PYMonths,0)-1,PYRowCount,1)))-BS!G13</f>
        <v>0</v>
      </c>
      <c r="I18" s="35">
        <f ca="1">IF(ISNA(MATCH('Set-up'!$B$14,ForMonths,0))=TRUE,0,SUMIF(PYAll,$A18&amp;"*",OFFSET(TBPY!$P$4,1,0,PYRowCount,1))-BS!I13)</f>
        <v>0</v>
      </c>
      <c r="J18" s="35">
        <f ca="1">IF(ISNA(MATCH('Set-up'!$B$14,TBMonths,0))=TRUE,0,SUMIF(PYAll,$A18&amp;"*",OFFSET(TBPY!$P$4,1,0,PYRowCount,1))-BS!J13)</f>
        <v>0</v>
      </c>
      <c r="K18" s="35">
        <f t="shared" ca="1" si="1"/>
        <v>0</v>
      </c>
      <c r="L18" s="42">
        <f t="shared" ca="1" si="2"/>
        <v>0</v>
      </c>
      <c r="M18" s="35">
        <f ca="1">IF(ISNA(MATCH('Set-up'!$B$16,PYMonths,0))=TRUE,0,SUMIF(PYAll,$A18&amp;"*",OFFSET(TBPY!$D$4,1,0,PYRowCount,1))-BS!M13)</f>
        <v>0</v>
      </c>
    </row>
    <row r="19" spans="1:14" ht="15" customHeight="1" x14ac:dyDescent="0.35">
      <c r="A19" s="19" t="s">
        <v>237</v>
      </c>
      <c r="B19" s="63" t="s">
        <v>146</v>
      </c>
      <c r="C19" s="37">
        <f ca="1">IF(ISNA(MATCH('Set-up'!$B$14,ForMonths,0))=TRUE,0,IF(MATCH('Set-up'!$B$14,ForMonths,0)=1,SUMIF(PYAll,$A19&amp;"*",OFFSET(TBPY!$P$4,1,0,PYRowCount,1)),SUMIF(ForAll,$A19&amp;"*",OFFSET(Forecast!$C$4,1,MATCH('Set-up'!$B$14,ForMonths,0)-1,ForRowCount,1))))-BS!C12</f>
        <v>0</v>
      </c>
      <c r="D19" s="37">
        <f ca="1">IF(ISNA(MATCH('Set-up'!$B$14,TBMonths,0))=TRUE,0,IF(MATCH('Set-up'!$B$14,TBMonths,0)=1,SUMIF(PYAll,$A19&amp;"*",OFFSET(TBPY!$P$4,1,0,PYRowCount,1)),SUMIF(TBAll,$A19&amp;"*",OFFSET(TBCY!$C$4,1,MATCH('Set-up'!$B$14,TBMonths,0)-1,TBRowCount,1))))-BS!D12</f>
        <v>0</v>
      </c>
      <c r="E19" s="37">
        <f t="shared" ca="1" si="3"/>
        <v>0</v>
      </c>
      <c r="F19" s="48">
        <f t="shared" ca="1" si="0"/>
        <v>0</v>
      </c>
      <c r="G19" s="37">
        <f ca="1">IF(ISNA(MATCH('Set-up'!$B$16,PYMonths,0))=TRUE,0,SUMIF(PYAll,$A19&amp;"*",OFFSET(TBPY!$D$4,1,MATCH('Set-up'!$B$16,PYMonths,0)-1,PYRowCount,1)))-BS!G12</f>
        <v>0</v>
      </c>
      <c r="I19" s="35">
        <f ca="1">IF(ISNA(MATCH('Set-up'!$B$14,ForMonths,0))=TRUE,0,SUMIF(PYAll,$A19&amp;"*",OFFSET(TBPY!$P$4,1,0,PYRowCount,1))-BS!I12)</f>
        <v>0</v>
      </c>
      <c r="J19" s="35">
        <f ca="1">IF(ISNA(MATCH('Set-up'!$B$14,TBMonths,0))=TRUE,0,SUMIF(PYAll,$A19&amp;"*",OFFSET(TBPY!$P$4,1,0,PYRowCount,1))-BS!J12)</f>
        <v>0</v>
      </c>
      <c r="K19" s="35">
        <f t="shared" ca="1" si="1"/>
        <v>0</v>
      </c>
      <c r="L19" s="42">
        <f t="shared" ca="1" si="2"/>
        <v>0</v>
      </c>
      <c r="M19" s="35">
        <f ca="1">IF(ISNA(MATCH('Set-up'!$B$16,PYMonths,0))=TRUE,0,SUMIF(PYAll,$A19&amp;"*",OFFSET(TBPY!$D$4,1,0,PYRowCount,1))-BS!M12)</f>
        <v>0</v>
      </c>
    </row>
    <row r="20" spans="1:14" ht="15" customHeight="1" x14ac:dyDescent="0.35">
      <c r="A20" s="19" t="s">
        <v>110</v>
      </c>
      <c r="B20" s="63" t="s">
        <v>246</v>
      </c>
      <c r="C20" s="37">
        <f ca="1">BS!C33+IF(ISNA(MATCH('Set-up'!$B$14,ForMonths,0))=TRUE,0,IF(MATCH('Set-up'!$B$14,ForMonths,0)=1,SUMIF(PYAll,$A20&amp;"*",OFFSET(TBPY!$P$4,1,0,PYRowCount,1)),SUMIF(ForAll,$A20&amp;"*",OFFSET(Forecast!$C$4,1,MATCH('Set-up'!$B$14,ForMonths,0)-1,ForRowCount,1))))</f>
        <v>0</v>
      </c>
      <c r="D20" s="37">
        <f ca="1">BS!D33+IF(ISNA(MATCH('Set-up'!$B$14,TBMonths,0))=TRUE,0,IF(MATCH('Set-up'!$B$14,TBMonths,0)=1,SUMIF(PYAll,$A20&amp;"*",OFFSET(TBPY!$P$4,1,0,PYRowCount,1)),SUMIF(TBAll,$A20&amp;"*",OFFSET(TBCY!$C$4,1,MATCH('Set-up'!$B$14,TBMonths,0)-1,TBRowCount,1))))</f>
        <v>0</v>
      </c>
      <c r="E20" s="37">
        <f t="shared" ca="1" si="3"/>
        <v>0</v>
      </c>
      <c r="F20" s="48">
        <f t="shared" ca="1" si="0"/>
        <v>0</v>
      </c>
      <c r="G20" s="37">
        <f ca="1">BS!G33+IF(ISNA(MATCH('Set-up'!$B$16,PYMonths,0))=TRUE,0,SUMIF(PYAll,$A20&amp;"*",OFFSET(TBPY!$D$4,1,MATCH('Set-up'!$B$16,PYMonths,0)-1,PYRowCount,1)))</f>
        <v>0</v>
      </c>
      <c r="I20" s="35">
        <f ca="1">IF(ISNA(MATCH('Set-up'!$B$14,ForMonths,0))=TRUE,0,BS!I33+SUMIF(PYAll,$A20&amp;"*",OFFSET(TBPY!$P$4,1,0,PYRowCount,1)))</f>
        <v>0</v>
      </c>
      <c r="J20" s="35">
        <f ca="1">IF(ISNA(MATCH('Set-up'!$B$14,TBMonths,0))=TRUE,0,BS!J33+SUMIF(PYAll,$A20&amp;"*",OFFSET(TBPY!$P$4,1,0,PYRowCount,1)))</f>
        <v>0</v>
      </c>
      <c r="K20" s="35">
        <f t="shared" ca="1" si="1"/>
        <v>0</v>
      </c>
      <c r="L20" s="42">
        <f t="shared" ca="1" si="2"/>
        <v>0</v>
      </c>
      <c r="M20" s="35">
        <f ca="1">IF(ISNA(MATCH('Set-up'!$B$16,PYMonths,0))=TRUE,0,BS!M33+SUMIF(PYAll,$A20&amp;"*",OFFSET(TBPY!$D$4,1,0,PYRowCount,1)))</f>
        <v>0</v>
      </c>
    </row>
    <row r="21" spans="1:14" ht="15" customHeight="1" x14ac:dyDescent="0.35">
      <c r="B21" s="63" t="s">
        <v>43</v>
      </c>
      <c r="C21" s="38">
        <f ca="1">SUM(C6:C20)</f>
        <v>0</v>
      </c>
      <c r="D21" s="38">
        <f ca="1">SUM(D6:D20)</f>
        <v>0</v>
      </c>
      <c r="E21" s="38">
        <f ca="1">SUM(E6:E20)</f>
        <v>0</v>
      </c>
      <c r="F21" s="43">
        <f t="shared" ca="1" si="0"/>
        <v>0</v>
      </c>
      <c r="G21" s="38">
        <f ca="1">SUM(G6:G20)</f>
        <v>0</v>
      </c>
      <c r="I21" s="38">
        <f ca="1">SUM(I6:I20)</f>
        <v>0</v>
      </c>
      <c r="J21" s="38">
        <f ca="1">SUM(J6:J20)</f>
        <v>0</v>
      </c>
      <c r="K21" s="38">
        <f ca="1">SUM(K6:K20)</f>
        <v>0</v>
      </c>
      <c r="L21" s="43">
        <f t="shared" ca="1" si="2"/>
        <v>0</v>
      </c>
      <c r="M21" s="38">
        <f ca="1">SUM(M6:M20)</f>
        <v>0</v>
      </c>
    </row>
    <row r="22" spans="1:14" ht="15" customHeight="1" x14ac:dyDescent="0.35">
      <c r="A22" s="19" t="s">
        <v>111</v>
      </c>
      <c r="B22" s="63" t="s">
        <v>44</v>
      </c>
      <c r="C22" s="37">
        <f ca="1">BS!C35-C7+IF(ISNA(MATCH('Set-up'!$B$14,ForMonths,0))=TRUE,0,IF(MATCH('Set-up'!$B$14,ForMonths,0)=1,SUMIF(PYAll,$A22&amp;"*",OFFSET(TBPY!$P$4,1,0,PYRowCount,1)),SUMIF(ForAll,$A22&amp;"*",OFFSET(Forecast!$C$4,1,MATCH('Set-up'!$B$14,ForMonths,0)-1,ForRowCount,1))))</f>
        <v>0</v>
      </c>
      <c r="D22" s="37">
        <f ca="1">BS!D35-D7+IF(ISNA(MATCH('Set-up'!$B$14,TBMonths,0))=TRUE,0,IF(MATCH('Set-up'!$B$14,TBMonths,0)=1,SUMIF(PYAll,$A22&amp;"*",OFFSET(TBPY!$P$4,1,0,PYRowCount,1)),SUMIF(TBAll,$A22&amp;"*",OFFSET(TBCY!$C$4,1,MATCH('Set-up'!$B$14,TBMonths,0)-1,TBRowCount,1))))</f>
        <v>0</v>
      </c>
      <c r="E22" s="37">
        <f ca="1">D22-C22</f>
        <v>0</v>
      </c>
      <c r="F22" s="48">
        <f t="shared" ca="1" si="0"/>
        <v>0</v>
      </c>
      <c r="G22" s="37">
        <f ca="1">BS!G35-G7+IF(ISNA(MATCH('Set-up'!$B$16,PYMonths,0))=TRUE,0,SUMIF(PYAll,$A22&amp;"*",OFFSET(TBPY!$D$4,1,MATCH('Set-up'!$B$16,PYMonths,0)-1,PYRowCount,1)))</f>
        <v>0</v>
      </c>
      <c r="I22" s="35">
        <f ca="1">IF(ISNA(MATCH('Set-up'!$B$14,ForMonths,0))=TRUE,0,BS!I35-I7+SUMIF(PYAll,$A22&amp;"*",OFFSET(TBPY!$P$4,1,0,PYRowCount,1)))</f>
        <v>0</v>
      </c>
      <c r="J22" s="35">
        <f ca="1">IF(ISNA(MATCH('Set-up'!$B$14,TBMonths,0))=TRUE,0,BS!J35-J7+SUMIF(PYAll,$A22&amp;"*",OFFSET(TBPY!$P$4,1,0,PYRowCount,1)))</f>
        <v>0</v>
      </c>
      <c r="K22" s="35">
        <f ca="1">J22-I22</f>
        <v>0</v>
      </c>
      <c r="L22" s="42">
        <f t="shared" ca="1" si="2"/>
        <v>0</v>
      </c>
      <c r="M22" s="35">
        <f ca="1">IF(ISNA(MATCH('Set-up'!$B$16,PYMonths,0))=TRUE,0,BS!M35-M7+SUMIF(PYAll,$A22&amp;"*",OFFSET(TBPY!$D$4,1,0,PYRowCount,1)))</f>
        <v>0</v>
      </c>
    </row>
    <row r="23" spans="1:14" ht="15" customHeight="1" x14ac:dyDescent="0.35">
      <c r="A23" s="19" t="s">
        <v>112</v>
      </c>
      <c r="B23" s="63" t="s">
        <v>45</v>
      </c>
      <c r="C23" s="37">
        <f ca="1">BS!C37+BS!C28-C8+IF(ISNA(MATCH('Set-up'!$B$14,ForMonths,0))=TRUE,0,IF(MATCH('Set-up'!$B$14,ForMonths,0)=1,SUMIF(PYAll,$A23&amp;"*",OFFSET(TBPY!$P$4,1,0,PYRowCount,1))+SUMIF(PYAll,"B-DTAX"&amp;"*",OFFSET(TBPY!$P$4,1,0,PYRowCount,1)),SUMIF(ForAll,$A23&amp;"*",OFFSET(Forecast!$C$4,1,MATCH('Set-up'!$B$14,ForMonths,0)-1,ForRowCount,1))+SUMIF(ForAll,"B-DTAX"&amp;"*",OFFSET(Forecast!$C$4,1,MATCH('Set-up'!$B$14,ForMonths,0)-1,ForRowCount,1))))</f>
        <v>0</v>
      </c>
      <c r="D23" s="37">
        <f ca="1">BS!D37+BS!D28-D8+IF(ISNA(MATCH('Set-up'!$B$14,TBMonths,0))=TRUE,0,IF(MATCH('Set-up'!$B$14,TBMonths,0)=1,SUMIF(PYAll,$A23&amp;"*",OFFSET(TBPY!$P$4,1,0,PYRowCount,1))+SUMIF(PYAll,"B-DTAX"&amp;"*",OFFSET(TBPY!$P$4,1,0,PYRowCount,1)),SUMIF(TBAll,$A23&amp;"*",OFFSET(TBCY!$C$4,1,MATCH('Set-up'!$B$14,TBMonths,0)-1,TBRowCount,1))+SUMIF(TBAll,"B-DTAX"&amp;"*",OFFSET(TBCY!$C$4,1,MATCH('Set-up'!$B$14,TBMonths,0)-1,TBRowCount,1))))</f>
        <v>0</v>
      </c>
      <c r="E23" s="37">
        <f ca="1">D23-C23</f>
        <v>0</v>
      </c>
      <c r="F23" s="48">
        <f t="shared" ca="1" si="0"/>
        <v>0</v>
      </c>
      <c r="G23" s="37">
        <f ca="1">BS!G37+BS!G28-G8+IF(ISNA(MATCH('Set-up'!$B$16,PYMonths,0))=TRUE,0,SUMIF(PYAll,$A23&amp;"*",OFFSET(TBPY!$D$4,1,MATCH('Set-up'!$B$16,PYMonths,0)-1,PYRowCount,1))+SUMIF(PYAll,"B-DTAX"&amp;"*",OFFSET(TBPY!$D$4,1,MATCH('Set-up'!$B$16,PYMonths,0)-1,PYRowCount,1)))</f>
        <v>0</v>
      </c>
      <c r="I23" s="35">
        <f ca="1">IF(ISNA(MATCH('Set-up'!$B$14,ForMonths,0))=TRUE,0,BS!I37+BS!I28-I8+SUMIF(PYAll,$A23&amp;"*",OFFSET(TBPY!$P$4,1,0,PYRowCount,1))+SUMIF(PYAll,"B-DTAX"&amp;"*",OFFSET(TBPY!$P$4,1,0,PYRowCount,1)))</f>
        <v>0</v>
      </c>
      <c r="J23" s="35">
        <f ca="1">IF(ISNA(MATCH('Set-up'!$B$14,TBMonths,0))=TRUE,0,BS!J37+BS!J28-J8+SUMIF(PYAll,$A23&amp;"*",OFFSET(TBPY!$P$4,1,0,PYRowCount,1))+SUMIF(PYAll,"B-DTAX"&amp;"*",OFFSET(TBPY!$P$4,1,0,PYRowCount,1)))</f>
        <v>0</v>
      </c>
      <c r="K23" s="35">
        <f ca="1">J23-I23</f>
        <v>0</v>
      </c>
      <c r="L23" s="42">
        <f t="shared" ca="1" si="2"/>
        <v>0</v>
      </c>
      <c r="M23" s="35">
        <f ca="1">IF(ISNA(MATCH('Set-up'!$B$16,PYMonths,0))=TRUE,0,BS!M37+BS!M28-M8+SUMIF(PYAll,$A23&amp;"*",OFFSET(TBPY!$D$4,1,0,PYRowCount,1))+SUMIF(PYAll,"B-DTAX"&amp;"*",OFFSET(TBPY!$D$4,1,0,PYRowCount,1)))</f>
        <v>0</v>
      </c>
    </row>
    <row r="24" spans="1:14" s="32" customFormat="1" ht="15" customHeight="1" x14ac:dyDescent="0.4">
      <c r="A24" s="34"/>
      <c r="B24" s="64" t="s">
        <v>41</v>
      </c>
      <c r="C24" s="55">
        <f ca="1">SUM(C21:C23)</f>
        <v>0</v>
      </c>
      <c r="D24" s="55">
        <f ca="1">SUM(D21:D23)</f>
        <v>0</v>
      </c>
      <c r="E24" s="55">
        <f ca="1">SUM(E21:E23)</f>
        <v>0</v>
      </c>
      <c r="F24" s="59">
        <f t="shared" ca="1" si="0"/>
        <v>0</v>
      </c>
      <c r="G24" s="55">
        <f ca="1">SUM(G21:G23)</f>
        <v>0</v>
      </c>
      <c r="H24" s="91"/>
      <c r="I24" s="55">
        <f ca="1">SUM(I21:I23)</f>
        <v>0</v>
      </c>
      <c r="J24" s="55">
        <f ca="1">SUM(J21:J23)</f>
        <v>0</v>
      </c>
      <c r="K24" s="55">
        <f ca="1">SUM(K21:K23)</f>
        <v>0</v>
      </c>
      <c r="L24" s="59">
        <f t="shared" ca="1" si="2"/>
        <v>0</v>
      </c>
      <c r="M24" s="55">
        <f ca="1">SUM(M21:M23)</f>
        <v>0</v>
      </c>
      <c r="N24" s="31"/>
    </row>
    <row r="26" spans="1:14" s="32" customFormat="1" ht="15" customHeight="1" x14ac:dyDescent="0.4">
      <c r="A26" s="34"/>
      <c r="B26" s="64" t="s">
        <v>42</v>
      </c>
      <c r="C26" s="52"/>
      <c r="D26" s="52"/>
      <c r="E26" s="52"/>
      <c r="F26" s="56"/>
      <c r="G26" s="52"/>
      <c r="H26" s="91"/>
      <c r="I26" s="52"/>
      <c r="J26" s="52"/>
      <c r="K26" s="52"/>
      <c r="L26" s="56"/>
      <c r="M26" s="52"/>
      <c r="N26" s="31"/>
    </row>
    <row r="27" spans="1:14" ht="15" customHeight="1" x14ac:dyDescent="0.35">
      <c r="A27" s="19" t="s">
        <v>235</v>
      </c>
      <c r="B27" s="63" t="s">
        <v>46</v>
      </c>
      <c r="C27" s="37">
        <f ca="1">IF(ISNA(MATCH('Set-up'!$B$14,ForMonths,0))=TRUE,0,IF(MATCH('Set-up'!$B$14,ForMonths,0)=1,SUMIF(PYAll,$A27&amp;"*",OFFSET(TBPY!$P$4,1,0,PYRowCount,1)),SUMIF(ForAll,$A27&amp;"*",OFFSET(Forecast!$C$4,1,MATCH('Set-up'!$B$14,ForMonths,0)-1,ForRowCount,1))))-C12-C16-BS!C7</f>
        <v>0</v>
      </c>
      <c r="D27" s="37">
        <f ca="1">IF(ISNA(MATCH('Set-up'!$B$14,TBMonths,0))=TRUE,0,IF(MATCH('Set-up'!$B$14,TBMonths,0)=1,SUMIF(PYAll,$A27&amp;"*",OFFSET(TBPY!$P$4,1,0,PYRowCount,1)),SUMIF(TBAll,$A27&amp;"*",OFFSET(TBCY!$C$4,1,MATCH('Set-up'!$B$14,TBMonths,0)-1,TBRowCount,1))))-D12-D16-BS!D7</f>
        <v>0</v>
      </c>
      <c r="E27" s="37">
        <f ca="1">D27-C27</f>
        <v>0</v>
      </c>
      <c r="F27" s="48">
        <f t="shared" ref="F27:F32" ca="1" si="4">IF(C27=0,IF(E27=0,0,-1),E27/ABS(C27))</f>
        <v>0</v>
      </c>
      <c r="G27" s="37">
        <f ca="1">IF(ISNA(MATCH('Set-up'!$B$16,PYMonths,0))=TRUE,0,SUMIF(PYAll,$A27&amp;"*",OFFSET(TBPY!$D$4,1,MATCH('Set-up'!$B$16,PYMonths,0)-1,PYRowCount,1)))-G12-G16-BS!G7</f>
        <v>0</v>
      </c>
      <c r="I27" s="35">
        <f ca="1">IF(ISNA(MATCH('Set-up'!$B$14,ForMonths,0))=TRUE,0,SUMIF(PYAll,$A27&amp;"*",OFFSET(TBPY!$P$4,1,0,PYRowCount,1))-I12-I16-BS!I7)</f>
        <v>0</v>
      </c>
      <c r="J27" s="35">
        <f ca="1">IF(ISNA(MATCH('Set-up'!$B$14,TBMonths,0))=TRUE,0,SUMIF(PYAll,$A27&amp;"*",OFFSET(TBPY!$P$4,1,0,PYRowCount,1))-J12-J16-BS!J7)</f>
        <v>0</v>
      </c>
      <c r="K27" s="35">
        <f ca="1">J27-I27</f>
        <v>0</v>
      </c>
      <c r="L27" s="42">
        <f t="shared" ref="L27:L32" ca="1" si="5">IF(I27=0,IF(K27=0,0,-1),K27/ABS(I27))</f>
        <v>0</v>
      </c>
      <c r="M27" s="35">
        <f ca="1">IF(ISNA(MATCH('Set-up'!$B$16,PYMonths,0))=TRUE,0,SUMIF(PYAll,$A27&amp;"*",OFFSET(TBPY!$D$4,1,0,PYRowCount,1))-M12-M16-BS!M7)</f>
        <v>0</v>
      </c>
    </row>
    <row r="28" spans="1:14" ht="15" customHeight="1" x14ac:dyDescent="0.35">
      <c r="A28" s="19" t="s">
        <v>236</v>
      </c>
      <c r="B28" s="63" t="s">
        <v>48</v>
      </c>
      <c r="C28" s="37">
        <f ca="1">IF(ISNA(MATCH('Set-up'!$B$14,ForMonths,0))=TRUE,0,IF(MATCH('Set-up'!$B$14,ForMonths,0)=1,SUMIF(PYAll,$A28&amp;"*",OFFSET(TBPY!$P$4,1,0,PYRowCount,1)),SUMIF(ForAll,$A28&amp;"*",OFFSET(Forecast!$C$4,1,MATCH('Set-up'!$B$14,ForMonths,0)-1,ForRowCount,1))))-C13-BS!C8</f>
        <v>0</v>
      </c>
      <c r="D28" s="37">
        <f ca="1">IF(ISNA(MATCH('Set-up'!$B$14,TBMonths,0))=TRUE,0,IF(MATCH('Set-up'!$B$14,TBMonths,0)=1,SUMIF(PYAll,$A28&amp;"*",OFFSET(TBPY!$P$4,1,0,PYRowCount,1)),SUMIF(TBAll,$A28&amp;"*",OFFSET(TBCY!$C$4,1,MATCH('Set-up'!$B$14,TBMonths,0)-1,TBRowCount,1))))-D13-BS!D8</f>
        <v>0</v>
      </c>
      <c r="E28" s="37">
        <f ca="1">D28-C28</f>
        <v>0</v>
      </c>
      <c r="F28" s="48">
        <f t="shared" ca="1" si="4"/>
        <v>0</v>
      </c>
      <c r="G28" s="37">
        <f ca="1">IF(ISNA(MATCH('Set-up'!$B$16,PYMonths,0))=TRUE,0,SUMIF(PYAll,$A28&amp;"*",OFFSET(TBPY!$D$4,1,MATCH('Set-up'!$B$16,PYMonths,0)-1,PYRowCount,1)))-G13-BS!G8</f>
        <v>0</v>
      </c>
      <c r="I28" s="35">
        <f ca="1">IF(ISNA(MATCH('Set-up'!$B$14,ForMonths,0))=TRUE,0,SUMIF(PYAll,$A28&amp;"*",OFFSET(TBPY!$P$4,1,0,PYRowCount,1))-I13-BS!I8)</f>
        <v>0</v>
      </c>
      <c r="J28" s="35">
        <f ca="1">IF(ISNA(MATCH('Set-up'!$B$14,TBMonths,0))=TRUE,0,SUMIF(PYAll,$A28&amp;"*",OFFSET(TBPY!$P$4,1,0,PYRowCount,1))-J13-BS!J8)</f>
        <v>0</v>
      </c>
      <c r="K28" s="35">
        <f ca="1">J28-I28</f>
        <v>0</v>
      </c>
      <c r="L28" s="42">
        <f t="shared" ca="1" si="5"/>
        <v>0</v>
      </c>
      <c r="M28" s="35">
        <f ca="1">IF(ISNA(MATCH('Set-up'!$B$16,PYMonths,0))=TRUE,0,SUMIF(PYAll,$A28&amp;"*",OFFSET(TBPY!$D$4,1,0,PYRowCount,1))-M13-BS!M8)</f>
        <v>0</v>
      </c>
    </row>
    <row r="29" spans="1:14" ht="15" customHeight="1" x14ac:dyDescent="0.35">
      <c r="A29" s="19" t="s">
        <v>106</v>
      </c>
      <c r="B29" s="63" t="s">
        <v>47</v>
      </c>
      <c r="C29" s="37">
        <f ca="1">IF(ISNA(MATCH('Set-up'!$B$14,ForMonths,0))=TRUE,0,IF(MATCH('Set-up'!$B$14,ForMonths,0)=1,SUMIF(PYAll,$A29&amp;"*",OFFSET(TBPY!$P$4,1,0,PYRowCount,1)),SUMIF(ForAll,$A29&amp;"*",OFFSET(Forecast!$C$4,1,MATCH('Set-up'!$B$14,ForMonths,0)-1,ForRowCount,1))))-BS!C9</f>
        <v>0</v>
      </c>
      <c r="D29" s="37">
        <f ca="1">IF(ISNA(MATCH('Set-up'!$B$14,TBMonths,0))=TRUE,0,IF(MATCH('Set-up'!$B$14,TBMonths,0)=1,SUMIF(PYAll,$A29&amp;"*",OFFSET(TBPY!$P$4,1,0,PYRowCount,1)),SUMIF(TBAll,$A29&amp;"*",OFFSET(TBCY!$C$4,1,MATCH('Set-up'!$B$14,TBMonths,0)-1,TBRowCount,1))))-BS!D9</f>
        <v>0</v>
      </c>
      <c r="E29" s="37">
        <f ca="1">D29-C29</f>
        <v>0</v>
      </c>
      <c r="F29" s="48">
        <f t="shared" ca="1" si="4"/>
        <v>0</v>
      </c>
      <c r="G29" s="37">
        <f ca="1">IF(ISNA(MATCH('Set-up'!$B$16,PYMonths,0))=TRUE,0,SUMIF(PYAll,$A29&amp;"*",OFFSET(TBPY!$D$4,1,MATCH('Set-up'!$B$16,PYMonths,0)-1,PYRowCount,1)))-BS!G9</f>
        <v>0</v>
      </c>
      <c r="I29" s="35">
        <f ca="1">IF(ISNA(MATCH('Set-up'!$B$14,ForMonths,0))=TRUE,0,SUMIF(PYAll,$A29&amp;"*",OFFSET(TBPY!$P$4,1,0,PYRowCount,1))-BS!I9)</f>
        <v>0</v>
      </c>
      <c r="J29" s="35">
        <f ca="1">IF(ISNA(MATCH('Set-up'!$B$14,TBMonths,0))=TRUE,0,SUMIF(PYAll,$A29&amp;"*",OFFSET(TBPY!$P$4,1,0,PYRowCount,1))-BS!J9)</f>
        <v>0</v>
      </c>
      <c r="K29" s="35">
        <f ca="1">J29-I29</f>
        <v>0</v>
      </c>
      <c r="L29" s="42">
        <f t="shared" ca="1" si="5"/>
        <v>0</v>
      </c>
      <c r="M29" s="35">
        <f ca="1">IF(ISNA(MATCH('Set-up'!$B$16,PYMonths,0))=TRUE,0,SUMIF(PYAll,$A29&amp;"*",OFFSET(TBPY!$D$4,1,0,PYRowCount,1))-BS!M9)</f>
        <v>0</v>
      </c>
    </row>
    <row r="30" spans="1:14" ht="15" customHeight="1" x14ac:dyDescent="0.35">
      <c r="B30" s="63" t="s">
        <v>49</v>
      </c>
      <c r="C30" s="35">
        <f ca="1">-C9</f>
        <v>0</v>
      </c>
      <c r="D30" s="35">
        <f ca="1">-D9</f>
        <v>0</v>
      </c>
      <c r="E30" s="35">
        <f ca="1">D30-C30</f>
        <v>0</v>
      </c>
      <c r="F30" s="42">
        <f t="shared" ca="1" si="4"/>
        <v>0</v>
      </c>
      <c r="G30" s="35">
        <f ca="1">-G9</f>
        <v>0</v>
      </c>
      <c r="I30" s="35">
        <f ca="1">-I9</f>
        <v>0</v>
      </c>
      <c r="J30" s="35">
        <f ca="1">-J9</f>
        <v>0</v>
      </c>
      <c r="K30" s="35">
        <f ca="1">J30-I30</f>
        <v>0</v>
      </c>
      <c r="L30" s="42">
        <f t="shared" ca="1" si="5"/>
        <v>0</v>
      </c>
      <c r="M30" s="35">
        <f ca="1">-M9</f>
        <v>0</v>
      </c>
    </row>
    <row r="31" spans="1:14" ht="15" customHeight="1" x14ac:dyDescent="0.35">
      <c r="B31" s="63" t="s">
        <v>56</v>
      </c>
      <c r="C31" s="35">
        <f ca="1">-C10</f>
        <v>0</v>
      </c>
      <c r="D31" s="35">
        <f ca="1">-D10</f>
        <v>0</v>
      </c>
      <c r="E31" s="35">
        <f ca="1">D31-C31</f>
        <v>0</v>
      </c>
      <c r="F31" s="42">
        <f t="shared" ca="1" si="4"/>
        <v>0</v>
      </c>
      <c r="G31" s="35">
        <f ca="1">-G10</f>
        <v>0</v>
      </c>
      <c r="I31" s="35">
        <f ca="1">-I10</f>
        <v>0</v>
      </c>
      <c r="J31" s="35">
        <f ca="1">-J10</f>
        <v>0</v>
      </c>
      <c r="K31" s="35">
        <f ca="1">J31-I31</f>
        <v>0</v>
      </c>
      <c r="L31" s="42">
        <f t="shared" ca="1" si="5"/>
        <v>0</v>
      </c>
      <c r="M31" s="35">
        <f ca="1">-M10</f>
        <v>0</v>
      </c>
    </row>
    <row r="32" spans="1:14" s="32" customFormat="1" ht="15" customHeight="1" x14ac:dyDescent="0.4">
      <c r="A32" s="34"/>
      <c r="B32" s="64" t="s">
        <v>50</v>
      </c>
      <c r="C32" s="55">
        <f ca="1">SUM(C27:C31)</f>
        <v>0</v>
      </c>
      <c r="D32" s="55">
        <f ca="1">SUM(D27:D31)</f>
        <v>0</v>
      </c>
      <c r="E32" s="55">
        <f ca="1">SUM(E27:E31)</f>
        <v>0</v>
      </c>
      <c r="F32" s="59">
        <f t="shared" ca="1" si="4"/>
        <v>0</v>
      </c>
      <c r="G32" s="55">
        <f ca="1">SUM(G27:G31)</f>
        <v>0</v>
      </c>
      <c r="H32" s="91"/>
      <c r="I32" s="55">
        <f ca="1">SUM(I27:I31)</f>
        <v>0</v>
      </c>
      <c r="J32" s="55">
        <f ca="1">SUM(J27:J31)</f>
        <v>0</v>
      </c>
      <c r="K32" s="55">
        <f ca="1">SUM(K27:K31)</f>
        <v>0</v>
      </c>
      <c r="L32" s="59">
        <f t="shared" ca="1" si="5"/>
        <v>0</v>
      </c>
      <c r="M32" s="55">
        <f ca="1">SUM(M27:M31)</f>
        <v>0</v>
      </c>
      <c r="N32" s="31"/>
    </row>
    <row r="34" spans="1:14" s="32" customFormat="1" ht="15" customHeight="1" x14ac:dyDescent="0.4">
      <c r="A34" s="34"/>
      <c r="B34" s="64" t="s">
        <v>51</v>
      </c>
      <c r="C34" s="52"/>
      <c r="D34" s="52"/>
      <c r="E34" s="52"/>
      <c r="F34" s="56"/>
      <c r="G34" s="52"/>
      <c r="H34" s="91"/>
      <c r="I34" s="52"/>
      <c r="J34" s="52"/>
      <c r="K34" s="52"/>
      <c r="L34" s="56"/>
      <c r="M34" s="52"/>
      <c r="N34" s="31"/>
    </row>
    <row r="35" spans="1:14" ht="15" customHeight="1" x14ac:dyDescent="0.35">
      <c r="A35" s="19" t="s">
        <v>117</v>
      </c>
      <c r="B35" s="63" t="s">
        <v>52</v>
      </c>
      <c r="C35" s="37">
        <f ca="1">BS!C22+IF(ISNA(MATCH('Set-up'!$B$14,ForMonths,0))=TRUE,0,IF(MATCH('Set-up'!$B$14,ForMonths,0)=1,SUMIF(PYAll,$A35&amp;"*",OFFSET(TBPY!$P$4,1,0,PYRowCount,1)),SUMIF(ForAll,$A35&amp;"*",OFFSET(Forecast!$C$4,1,MATCH('Set-up'!$B$14,ForMonths,0)-1,ForRowCount,1))))</f>
        <v>0</v>
      </c>
      <c r="D35" s="37">
        <f ca="1">BS!D22+IF(ISNA(MATCH('Set-up'!$B$14,TBMonths,0))=TRUE,0,IF(MATCH('Set-up'!$B$14,TBMonths,0)=1,SUMIF(PYAll,$A35&amp;"*",OFFSET(TBPY!$P$4,1,0,PYRowCount,1)),SUMIF(TBAll,$A35&amp;"*",OFFSET(TBCY!$C$4,1,MATCH('Set-up'!$B$14,TBMonths,0)-1,TBRowCount,1))))</f>
        <v>0</v>
      </c>
      <c r="E35" s="35">
        <f ca="1">D35-C35</f>
        <v>0</v>
      </c>
      <c r="G35" s="37">
        <f ca="1">BS!G22+IF(ISNA(MATCH('Set-up'!$B$16,PYMonths,0))=TRUE,0,SUMIF(PYAll,$A35&amp;"*",OFFSET(TBPY!$D$4,1,MATCH('Set-up'!$B$16,PYMonths,0)-1,PYRowCount,1)))</f>
        <v>0</v>
      </c>
      <c r="I35" s="35">
        <f ca="1">IF(ISNA(MATCH('Set-up'!$B$14,ForMonths,0))=TRUE,0,BS!I22+SUMIF(PYAll,$A35&amp;"*",OFFSET(TBPY!$P$4,1,0,PYRowCount,1)))</f>
        <v>0</v>
      </c>
      <c r="J35" s="35">
        <f ca="1">IF(ISNA(MATCH('Set-up'!$B$14,TBMonths,0))=TRUE,0,BS!J22+SUMIF(PYAll,$A35&amp;"*",OFFSET(TBPY!$P$4,1,0,PYRowCount,1)))</f>
        <v>0</v>
      </c>
      <c r="K35" s="35">
        <f ca="1">J35-I35</f>
        <v>0</v>
      </c>
      <c r="L35" s="42">
        <f ca="1">IF(I35=0,IF(K35=0,0,-1),K35/ABS(I35))</f>
        <v>0</v>
      </c>
      <c r="M35" s="35">
        <f ca="1">IF(ISNA(MATCH('Set-up'!$B$16,PYMonths,0))=TRUE,0,BS!M22+SUMIF(PYAll,$A35&amp;"*",OFFSET(TBPY!$D$4,1,0,PYRowCount,1)))</f>
        <v>0</v>
      </c>
    </row>
    <row r="36" spans="1:14" ht="15" customHeight="1" x14ac:dyDescent="0.35">
      <c r="A36" s="19" t="s">
        <v>108</v>
      </c>
      <c r="B36" s="63" t="s">
        <v>270</v>
      </c>
      <c r="C36" s="37">
        <f ca="1">BS!C26+IF(ISNA(MATCH('Set-up'!$B$14,ForMonths,0))=TRUE,0,IF(MATCH('Set-up'!$B$14,ForMonths,0)=1,SUMIF(PYAll,$A36&amp;"*",OFFSET(TBPY!$P$4,1,0,PYRowCount,1)),SUMIF(ForAll,$A36&amp;"*",OFFSET(Forecast!$C$4,1,MATCH('Set-up'!$B$14,ForMonths,0)-1,ForRowCount,1))))</f>
        <v>0</v>
      </c>
      <c r="D36" s="37">
        <f ca="1">BS!D26+IF(ISNA(MATCH('Set-up'!$B$14,TBMonths,0))=TRUE,0,IF(MATCH('Set-up'!$B$14,TBMonths,0)=1,SUMIF(PYAll,$A36&amp;"*",OFFSET(TBPY!$P$4,1,0,PYRowCount,1)),SUMIF(TBAll,$A36&amp;"*",OFFSET(TBCY!$C$4,1,MATCH('Set-up'!$B$14,TBMonths,0)-1,TBRowCount,1))))</f>
        <v>0</v>
      </c>
      <c r="E36" s="35">
        <f ca="1">D36-C36</f>
        <v>0</v>
      </c>
      <c r="F36" s="42">
        <f ca="1">IF(C36=0,IF(E36=0,0,-1),E36/ABS(C36))</f>
        <v>0</v>
      </c>
      <c r="G36" s="37">
        <f ca="1">BS!G26+IF(ISNA(MATCH('Set-up'!$B$16,PYMonths,0))=TRUE,0,SUMIF(PYAll,$A36&amp;"*",OFFSET(TBPY!$D$4,1,MATCH('Set-up'!$B$16,PYMonths,0)-1,PYRowCount,1)))</f>
        <v>0</v>
      </c>
      <c r="I36" s="35">
        <f ca="1">IF(ISNA(MATCH('Set-up'!$B$14,ForMonths,0))=TRUE,0,BS!I26+SUMIF(PYAll,$A36&amp;"*",OFFSET(TBPY!$P$4,1,0,PYRowCount,1)))</f>
        <v>0</v>
      </c>
      <c r="J36" s="35">
        <f ca="1">IF(ISNA(MATCH('Set-up'!$B$14,TBMonths,0))=TRUE,0,BS!J26+SUMIF(PYAll,$A36&amp;"*",OFFSET(TBPY!$P$4,1,0,PYRowCount,1)))</f>
        <v>0</v>
      </c>
      <c r="K36" s="35">
        <f ca="1">J36-I36</f>
        <v>0</v>
      </c>
      <c r="L36" s="42">
        <f ca="1">IF(I36=0,IF(K36=0,0,-1),K36/ABS(I36))</f>
        <v>0</v>
      </c>
      <c r="M36" s="35">
        <f ca="1">IF(ISNA(MATCH('Set-up'!$B$16,PYMonths,0))=TRUE,0,BS!M26+SUMIF(PYAll,$A36&amp;"*",OFFSET(TBPY!$D$4,1,0,PYRowCount,1)))</f>
        <v>0</v>
      </c>
    </row>
    <row r="37" spans="1:14" ht="15" customHeight="1" x14ac:dyDescent="0.35">
      <c r="A37" s="19" t="s">
        <v>109</v>
      </c>
      <c r="B37" s="63" t="s">
        <v>92</v>
      </c>
      <c r="C37" s="37">
        <f ca="1">BS!C27+IF(ISNA(MATCH('Set-up'!$B$14,ForMonths,0))=TRUE,0,IF(MATCH('Set-up'!$B$14,ForMonths,0)=1,SUMIF(PYAll,$A37&amp;"*",OFFSET(TBPY!$P$4,1,0,PYRowCount,1)),SUMIF(ForAll,$A37&amp;"*",OFFSET(Forecast!$C$4,1,MATCH('Set-up'!$B$14,ForMonths,0)-1,ForRowCount,1))))</f>
        <v>0</v>
      </c>
      <c r="D37" s="37">
        <f ca="1">BS!D27+IF(ISNA(MATCH('Set-up'!$B$14,TBMonths,0))=TRUE,0,IF(MATCH('Set-up'!$B$14,TBMonths,0)=1,SUMIF(PYAll,$A37&amp;"*",OFFSET(TBPY!$P$4,1,0,PYRowCount,1)),SUMIF(TBAll,$A37&amp;"*",OFFSET(TBCY!$C$4,1,MATCH('Set-up'!$B$14,TBMonths,0)-1,TBRowCount,1))))</f>
        <v>0</v>
      </c>
      <c r="E37" s="35">
        <f ca="1">D37-C37</f>
        <v>0</v>
      </c>
      <c r="F37" s="42">
        <f ca="1">IF(C37=0,IF(E37=0,0,-1),E37/ABS(C37))</f>
        <v>0</v>
      </c>
      <c r="G37" s="37">
        <f ca="1">BS!G27+IF(ISNA(MATCH('Set-up'!$B$16,PYMonths,0))=TRUE,0,SUMIF(PYAll,$A37&amp;"*",OFFSET(TBPY!$D$4,1,MATCH('Set-up'!$B$16,PYMonths,0)-1,PYRowCount,1)))</f>
        <v>0</v>
      </c>
      <c r="I37" s="35">
        <f ca="1">IF(ISNA(MATCH('Set-up'!$B$14,ForMonths,0))=TRUE,0,BS!I27+SUMIF(PYAll,$A37&amp;"*",OFFSET(TBPY!$P$4,1,0,PYRowCount,1)))</f>
        <v>0</v>
      </c>
      <c r="J37" s="35">
        <f ca="1">IF(ISNA(MATCH('Set-up'!$B$14,TBMonths,0))=TRUE,0,BS!J27+SUMIF(PYAll,$A37&amp;"*",OFFSET(TBPY!$P$4,1,0,PYRowCount,1)))</f>
        <v>0</v>
      </c>
      <c r="K37" s="35">
        <f ca="1">J37-I37</f>
        <v>0</v>
      </c>
      <c r="L37" s="42">
        <f ca="1">IF(I37=0,IF(K37=0,0,-1),K37/ABS(I37))</f>
        <v>0</v>
      </c>
      <c r="M37" s="35">
        <f ca="1">IF(ISNA(MATCH('Set-up'!$B$16,PYMonths,0))=TRUE,0,BS!M27+SUMIF(PYAll,$A37&amp;"*",OFFSET(TBPY!$D$4,1,0,PYRowCount,1)))</f>
        <v>0</v>
      </c>
    </row>
    <row r="38" spans="1:14" ht="15" customHeight="1" x14ac:dyDescent="0.35">
      <c r="A38" s="19" t="s">
        <v>113</v>
      </c>
      <c r="B38" s="63" t="s">
        <v>53</v>
      </c>
      <c r="C38" s="37">
        <f ca="1">BS!C36-IS!C38+IF(ISNA(MATCH('Set-up'!$B$14,ForMonths,0))=TRUE,0,IF(MATCH('Set-up'!$B$14,ForMonths,0)=1,SUMIF(PYAll,$A38&amp;"*",OFFSET(TBPY!$P$4,1,0,PYRowCount,1)),SUMIF(ForAll,$A38&amp;"*",OFFSET(Forecast!$C$4,1,MATCH('Set-up'!$B$14,ForMonths,0)-1,ForRowCount,1))))</f>
        <v>0</v>
      </c>
      <c r="D38" s="37">
        <f ca="1">BS!D36-IS!D38+IF(ISNA(MATCH('Set-up'!$B$14,TBMonths,0))=TRUE,0,IF(MATCH('Set-up'!$B$14,TBMonths,0)=1,SUMIF(PYAll,$A38&amp;"*",OFFSET(TBPY!$P$4,1,0,PYRowCount,1)),SUMIF(TBAll,$A38&amp;"*",OFFSET(TBCY!$C$4,1,MATCH('Set-up'!$B$14,TBMonths,0)-1,TBRowCount,1))))</f>
        <v>0</v>
      </c>
      <c r="E38" s="35">
        <f ca="1">D38-C38</f>
        <v>0</v>
      </c>
      <c r="F38" s="42">
        <f ca="1">IF(C38=0,IF(E38=0,0,-1),E38/ABS(C38))</f>
        <v>0</v>
      </c>
      <c r="G38" s="37">
        <f ca="1">BS!G36-IS!G38+IF(ISNA(MATCH('Set-up'!$B$16,PYMonths,0))=TRUE,0,SUMIF(PYAll,$A38&amp;"*",OFFSET(TBPY!$D$4,1,MATCH('Set-up'!$B$16,PYMonths,0)-1,PYRowCount,1)))</f>
        <v>0</v>
      </c>
      <c r="I38" s="35">
        <f ca="1">IF(ISNA(MATCH('Set-up'!$B$14,ForMonths,0))=TRUE,0,BS!I36-IS!I38+SUMIF(PYAll,$A38&amp;"*",OFFSET(TBPY!$P$4,1,0,PYRowCount,1)))</f>
        <v>0</v>
      </c>
      <c r="J38" s="35">
        <f ca="1">IF(ISNA(MATCH('Set-up'!$B$14,TBMonths,0))=TRUE,0,BS!J36-IS!J38+SUMIF(PYAll,$A38&amp;"*",OFFSET(TBPY!$P$4,1,0,PYRowCount,1)))</f>
        <v>0</v>
      </c>
      <c r="K38" s="35">
        <f ca="1">J38-I38</f>
        <v>0</v>
      </c>
      <c r="L38" s="42">
        <f ca="1">IF(I38=0,IF(K38=0,0,-1),K38/ABS(I38))</f>
        <v>0</v>
      </c>
      <c r="M38" s="35">
        <f ca="1">IF(ISNA(MATCH('Set-up'!$B$16,PYMonths,0))=TRUE,0,BS!M36-IS!M38+SUMIF(PYAll,$A38&amp;"*",OFFSET(TBPY!$D$4,1,0,PYRowCount,1)))</f>
        <v>0</v>
      </c>
    </row>
    <row r="39" spans="1:14" s="32" customFormat="1" ht="15" customHeight="1" x14ac:dyDescent="0.4">
      <c r="A39" s="34"/>
      <c r="B39" s="64" t="s">
        <v>54</v>
      </c>
      <c r="C39" s="55">
        <f ca="1">SUM(C35:C38)</f>
        <v>0</v>
      </c>
      <c r="D39" s="55">
        <f ca="1">SUM(D35:D38)</f>
        <v>0</v>
      </c>
      <c r="E39" s="55">
        <f ca="1">SUM(E35:E38)</f>
        <v>0</v>
      </c>
      <c r="F39" s="59">
        <f ca="1">IF(C39=0,IF(E39=0,0,-1),E39/ABS(C39))</f>
        <v>0</v>
      </c>
      <c r="G39" s="55">
        <f ca="1">SUM(G35:G38)</f>
        <v>0</v>
      </c>
      <c r="H39" s="91"/>
      <c r="I39" s="55">
        <f ca="1">SUM(I35:I38)</f>
        <v>0</v>
      </c>
      <c r="J39" s="55">
        <f ca="1">SUM(J35:J38)</f>
        <v>0</v>
      </c>
      <c r="K39" s="55">
        <f ca="1">SUM(K35:K38)</f>
        <v>0</v>
      </c>
      <c r="L39" s="59">
        <f ca="1">IF(I39=0,IF(K39=0,0,-1),K39/ABS(I39))</f>
        <v>0</v>
      </c>
      <c r="M39" s="55">
        <f ca="1">SUM(M35:M38)</f>
        <v>0</v>
      </c>
      <c r="N39" s="31"/>
    </row>
    <row r="41" spans="1:14" ht="15" customHeight="1" x14ac:dyDescent="0.35">
      <c r="B41" s="63" t="s">
        <v>255</v>
      </c>
      <c r="C41" s="35">
        <f ca="1">SUM(C24,C32,C39)</f>
        <v>0</v>
      </c>
      <c r="D41" s="35">
        <f ca="1">SUM(D24,D32,D39)</f>
        <v>0</v>
      </c>
      <c r="E41" s="35">
        <f ca="1">D41-C41</f>
        <v>0</v>
      </c>
      <c r="F41" s="42">
        <f ca="1">IF(C41=0,IF(E41=0,0,-1),E41/ABS(C41))</f>
        <v>0</v>
      </c>
      <c r="G41" s="35">
        <f ca="1">SUM(G24,G32,G39)</f>
        <v>0</v>
      </c>
      <c r="I41" s="35">
        <f ca="1">SUM(I24,I32,I39)</f>
        <v>0</v>
      </c>
      <c r="J41" s="35">
        <f ca="1">SUM(J24,J32,J39)</f>
        <v>0</v>
      </c>
      <c r="K41" s="35">
        <f ca="1">J41-I41</f>
        <v>0</v>
      </c>
      <c r="L41" s="42">
        <f ca="1">IF(I41=0,IF(K41=0,0,-1),K41/ABS(I41))</f>
        <v>0</v>
      </c>
      <c r="M41" s="35">
        <f ca="1">SUM(M24,M32,M39)</f>
        <v>0</v>
      </c>
    </row>
    <row r="42" spans="1:14" ht="15" customHeight="1" x14ac:dyDescent="0.35">
      <c r="A42" s="19" t="s">
        <v>114</v>
      </c>
      <c r="B42" s="63" t="s">
        <v>247</v>
      </c>
      <c r="C42" s="35">
        <f ca="1">IF(ISNA(MATCH('Set-up'!$B$14,ForMonths,0))=TRUE,0,IF(MATCH('Set-up'!$B$14,ForMonths,0)=1,SUMIF(PYAll,$A42&amp;"*",OFFSET(TBPY!$P$4,1,0,PYRowCount,1))+SUMIF(PYAll,"B-BANK"&amp;"*",OFFSET(TBPY!$P$4,1,0,PYRowCount,1)),SUMIF(ForAll,$A42&amp;"*",OFFSET(Forecast!$C$4,1,MATCH('Set-up'!$B$14,ForMonths,0)-1,ForRowCount,1)))+SUMIF(ForAll,"B-BANK"&amp;"*",OFFSET(Forecast!$C$4,1,MATCH('Set-up'!$B$14,ForMonths,0)-1,ForRowCount,1)))</f>
        <v>0</v>
      </c>
      <c r="D42" s="35">
        <f ca="1">IF(ISNA(MATCH('Set-up'!$B$14,TBMonths,0))=TRUE,0,IF(MATCH('Set-up'!$B$14,TBMonths,0)=1,SUMIF(PYAll,$A42&amp;"*",OFFSET(TBPY!$P$4,1,0,PYRowCount,1))+SUMIF(PYAll,"B-BANK"&amp;"*",OFFSET(TBPY!$P$4,1,0,PYRowCount,1)),SUMIF(TBAll,$A42&amp;"*",OFFSET(TBCY!$C$4,1,MATCH('Set-up'!$B$14,TBMonths,0)-1,TBRowCount,1)))+SUMIF(TBAll,"B-BANK"&amp;"*",OFFSET(TBCY!$C$4,1,MATCH('Set-up'!$B$14,TBMonths,0)-1,TBRowCount,1)))</f>
        <v>0</v>
      </c>
      <c r="E42" s="35">
        <f ca="1">D42-C42</f>
        <v>0</v>
      </c>
      <c r="F42" s="42">
        <f ca="1">IF(C42=0,IF(E42=0,0,-1),E42/ABS(C42))</f>
        <v>0</v>
      </c>
      <c r="G42" s="35">
        <f ca="1">IF(ISNA(MATCH('Set-up'!$B$16,PYMonths,0))=TRUE,0,SUMIF(PYAll,$A42&amp;"*",OFFSET(TBPY!$D$4,1,MATCH('Set-up'!$B$16,PYMonths,0)-1,PYRowCount,1))+SUMIF(PYAll,"B-BANK"&amp;"*",OFFSET(TBPY!$D$4,1,MATCH('Set-up'!$B$16,PYMonths,0)-1,PYRowCount,1)))</f>
        <v>0</v>
      </c>
      <c r="I42" s="35">
        <f ca="1">IF(ISNA(MATCH('Set-up'!$B$14,ForMonths,0))=TRUE,0,SUMIF(PYAll,$A42&amp;"*",OFFSET(TBPY!$P$4,1,0,PYRowCount,1))+SUMIF(PYAll,"B-BANK"&amp;"*",OFFSET(TBPY!$P$4,1,0,PYRowCount,1)))</f>
        <v>0</v>
      </c>
      <c r="J42" s="35">
        <f ca="1">IF(ISNA(MATCH('Set-up'!$B$14,TBMonths,0))=TRUE,0,SUMIF(PYAll,$A42&amp;"*",OFFSET(TBPY!$P$4,1,0,PYRowCount,1))+SUMIF(PYAll,"B-BANK"&amp;"*",OFFSET(TBPY!$P$4,1,0,PYRowCount,1)))</f>
        <v>0</v>
      </c>
      <c r="K42" s="35">
        <f ca="1">J42-I42</f>
        <v>0</v>
      </c>
      <c r="L42" s="42">
        <f ca="1">IF(I42=0,IF(K42=0,0,-1),K42/ABS(I42))</f>
        <v>0</v>
      </c>
      <c r="M42" s="35">
        <f ca="1">IF(ISNA(MATCH('Set-up'!$B$16,PYMonths,0))=TRUE,0,SUMIF(PYAll,$A42&amp;"*",OFFSET(TBPY!$D$4,1,0,PYRowCount,1))+SUMIF(PYAll,"B-BANK"&amp;"*",OFFSET(TBPY!$D$4,1,0,PYRowCount,1)))</f>
        <v>0</v>
      </c>
    </row>
    <row r="43" spans="1:14" s="32" customFormat="1" ht="15" customHeight="1" thickBot="1" x14ac:dyDescent="0.45">
      <c r="A43" s="19"/>
      <c r="B43" s="64" t="s">
        <v>248</v>
      </c>
      <c r="C43" s="50">
        <f ca="1">SUM(C41:C42)</f>
        <v>0</v>
      </c>
      <c r="D43" s="50">
        <f ca="1">SUM(D41:D42)</f>
        <v>0</v>
      </c>
      <c r="E43" s="50">
        <f ca="1">SUM(E41:E42)</f>
        <v>0</v>
      </c>
      <c r="F43" s="51">
        <f ca="1">IF(C43=0,IF(E43=0,0,-1),E43/ABS(C43))</f>
        <v>0</v>
      </c>
      <c r="G43" s="50">
        <f ca="1">SUM(G41:G42)</f>
        <v>0</v>
      </c>
      <c r="H43" s="91"/>
      <c r="I43" s="50">
        <f ca="1">SUM(I41:I42)</f>
        <v>0</v>
      </c>
      <c r="J43" s="50">
        <f ca="1">SUM(J41:J42)</f>
        <v>0</v>
      </c>
      <c r="K43" s="50">
        <f ca="1">SUM(K41:K42)</f>
        <v>0</v>
      </c>
      <c r="L43" s="51">
        <f ca="1">IF(I43=0,IF(K43=0,0,-1),K43/ABS(I43))</f>
        <v>0</v>
      </c>
      <c r="M43" s="50">
        <f ca="1">SUM(M41:M42)</f>
        <v>0</v>
      </c>
      <c r="N43" s="31"/>
    </row>
    <row r="44" spans="1:14" ht="15" customHeight="1" thickTop="1" x14ac:dyDescent="0.35"/>
    <row r="45" spans="1:14" s="72" customFormat="1" ht="15" customHeight="1" x14ac:dyDescent="0.35">
      <c r="A45" s="19"/>
      <c r="B45" s="68" t="s">
        <v>271</v>
      </c>
      <c r="C45" s="69">
        <f ca="1">SUM(BS!C14,BS!C15,-BS!C32)</f>
        <v>0</v>
      </c>
      <c r="D45" s="69">
        <f ca="1">SUM(BS!D14,BS!D15,-BS!D32)</f>
        <v>0</v>
      </c>
      <c r="E45" s="69"/>
      <c r="F45" s="70"/>
      <c r="G45" s="69">
        <f ca="1">SUM(BS!G14,BS!G15,-BS!G32)</f>
        <v>0</v>
      </c>
      <c r="I45" s="69">
        <f ca="1">SUM(BS!I14,BS!I15,-BS!I32)</f>
        <v>0</v>
      </c>
      <c r="J45" s="69">
        <f ca="1">SUM(BS!J14,BS!J15,-BS!J32)</f>
        <v>0</v>
      </c>
      <c r="K45" s="69"/>
      <c r="L45" s="70"/>
      <c r="M45" s="69">
        <f ca="1">SUM(BS!M14,BS!M15,-BS!M32)</f>
        <v>0</v>
      </c>
      <c r="N45" s="71"/>
    </row>
  </sheetData>
  <mergeCells count="2">
    <mergeCell ref="C3:G3"/>
    <mergeCell ref="I3:M3"/>
  </mergeCells>
  <conditionalFormatting sqref="C43">
    <cfRule type="expression" dxfId="6" priority="2" stopIfTrue="1">
      <formula>ROUND(C43-C45,0)&lt;&gt;0</formula>
    </cfRule>
  </conditionalFormatting>
  <conditionalFormatting sqref="M43 I43:J43 G43 D43">
    <cfRule type="expression" dxfId="5" priority="1" stopIfTrue="1">
      <formula>ROUND(D43-D45,0)&lt;&gt;0</formula>
    </cfRule>
  </conditionalFormatting>
  <pageMargins left="0.55118110236220474" right="0.55118110236220474" top="0.55118110236220474" bottom="0.55118110236220474" header="0.39370078740157483" footer="0.39370078740157483"/>
  <pageSetup paperSize="9" scale="81" orientation="landscape" r:id="rId1"/>
  <headerFooter>
    <oddFooter>&amp;C&amp;9Page &amp;P of &amp;N</oddFooter>
  </headerFooter>
  <ignoredErrors>
    <ignoredError sqref="E21:F21 F24 F32 F39 F43 K21:L21 L24 L32 L39 L43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tabSelected="1" zoomScale="95" zoomScaleNormal="95" workbookViewId="0">
      <pane ySplit="4" topLeftCell="A5" activePane="bottomLeft" state="frozen"/>
      <selection activeCell="B4" sqref="B4"/>
      <selection pane="bottomLeft" activeCell="B4" sqref="B4"/>
    </sheetView>
  </sheetViews>
  <sheetFormatPr defaultColWidth="9.1328125" defaultRowHeight="15" customHeight="1" x14ac:dyDescent="0.35"/>
  <cols>
    <col min="1" max="1" width="8.73046875" style="19" customWidth="1"/>
    <col min="2" max="2" width="35.73046875" style="9" customWidth="1"/>
    <col min="3" max="5" width="12.73046875" style="35" customWidth="1"/>
    <col min="6" max="6" width="12.73046875" style="42" customWidth="1"/>
    <col min="7" max="7" width="12.73046875" style="35" customWidth="1"/>
    <col min="8" max="8" width="2.73046875" style="1" customWidth="1"/>
    <col min="9" max="11" width="12.73046875" style="35" customWidth="1"/>
    <col min="12" max="12" width="12.73046875" style="42" customWidth="1"/>
    <col min="13" max="13" width="12.73046875" style="35" customWidth="1"/>
    <col min="14" max="14" width="2.73046875" style="10" customWidth="1"/>
    <col min="15" max="16384" width="9.1328125" style="3"/>
  </cols>
  <sheetData>
    <row r="1" spans="1:14" ht="15.95" customHeight="1" x14ac:dyDescent="0.4">
      <c r="B1" s="8" t="str">
        <f>'Set-up'!$B$4</f>
        <v>ABC Trading (Pty) Limited</v>
      </c>
    </row>
    <row r="2" spans="1:14" s="25" customFormat="1" ht="15.95" customHeight="1" x14ac:dyDescent="0.35">
      <c r="A2" s="33"/>
      <c r="B2" s="76" t="str">
        <f>"Balance sheet at "&amp;TEXT('Set-up'!$B$14,"dd mmmm yyyy")</f>
        <v>Balance sheet at 28 February 2017</v>
      </c>
      <c r="C2" s="78"/>
      <c r="D2" s="78"/>
      <c r="E2" s="78"/>
      <c r="F2" s="79"/>
      <c r="G2" s="78"/>
      <c r="H2" s="92"/>
      <c r="I2" s="78"/>
      <c r="J2" s="78"/>
      <c r="K2" s="78"/>
      <c r="L2" s="79"/>
      <c r="M2" s="78"/>
      <c r="N2" s="24"/>
    </row>
    <row r="3" spans="1:14" s="25" customFormat="1" ht="15.95" customHeight="1" x14ac:dyDescent="0.35">
      <c r="A3" s="33"/>
      <c r="B3" s="23" t="s">
        <v>128</v>
      </c>
      <c r="C3" s="107" t="s">
        <v>240</v>
      </c>
      <c r="D3" s="108"/>
      <c r="E3" s="108"/>
      <c r="F3" s="108"/>
      <c r="G3" s="109"/>
      <c r="I3" s="107" t="s">
        <v>234</v>
      </c>
      <c r="J3" s="108"/>
      <c r="K3" s="108"/>
      <c r="L3" s="108"/>
      <c r="M3" s="109"/>
      <c r="N3" s="24"/>
    </row>
    <row r="4" spans="1:14" s="21" customFormat="1" ht="15.95" customHeight="1" x14ac:dyDescent="0.35">
      <c r="A4" s="72"/>
      <c r="B4" s="18"/>
      <c r="C4" s="65" t="s">
        <v>134</v>
      </c>
      <c r="D4" s="65" t="s">
        <v>133</v>
      </c>
      <c r="E4" s="65" t="s">
        <v>135</v>
      </c>
      <c r="F4" s="66" t="s">
        <v>136</v>
      </c>
      <c r="G4" s="65" t="s">
        <v>249</v>
      </c>
      <c r="H4" s="3"/>
      <c r="I4" s="65" t="s">
        <v>134</v>
      </c>
      <c r="J4" s="65" t="s">
        <v>133</v>
      </c>
      <c r="K4" s="65" t="s">
        <v>135</v>
      </c>
      <c r="L4" s="66" t="s">
        <v>136</v>
      </c>
      <c r="M4" s="65" t="s">
        <v>249</v>
      </c>
      <c r="N4" s="20"/>
    </row>
    <row r="5" spans="1:14" s="32" customFormat="1" ht="15" customHeight="1" x14ac:dyDescent="0.4">
      <c r="A5" s="34"/>
      <c r="B5" s="30" t="s">
        <v>15</v>
      </c>
      <c r="C5" s="52"/>
      <c r="D5" s="52"/>
      <c r="E5" s="52"/>
      <c r="F5" s="56"/>
      <c r="G5" s="52"/>
      <c r="H5" s="91"/>
      <c r="I5" s="52"/>
      <c r="J5" s="52"/>
      <c r="K5" s="52"/>
      <c r="L5" s="56"/>
      <c r="M5" s="52"/>
      <c r="N5" s="31"/>
    </row>
    <row r="6" spans="1:14" s="32" customFormat="1" ht="15" customHeight="1" x14ac:dyDescent="0.4">
      <c r="A6" s="34"/>
      <c r="B6" s="30" t="s">
        <v>29</v>
      </c>
      <c r="C6" s="52"/>
      <c r="D6" s="52"/>
      <c r="E6" s="52"/>
      <c r="F6" s="56"/>
      <c r="G6" s="52"/>
      <c r="H6" s="91"/>
      <c r="I6" s="52"/>
      <c r="J6" s="52"/>
      <c r="K6" s="52"/>
      <c r="L6" s="56"/>
      <c r="M6" s="52"/>
      <c r="N6" s="31"/>
    </row>
    <row r="7" spans="1:14" ht="15" customHeight="1" x14ac:dyDescent="0.35">
      <c r="A7" s="19" t="s">
        <v>235</v>
      </c>
      <c r="B7" s="9" t="s">
        <v>17</v>
      </c>
      <c r="C7" s="35">
        <f ca="1">IF(ISNA(MATCH('Set-up'!$B$14,ForMonths,0))=TRUE,0,SUMIF(ForAll,$A7&amp;"*",OFFSET(Forecast!$C$4,1,MATCH('Set-up'!$B$14,ForMonths,0),ForRowCount,1)))</f>
        <v>0</v>
      </c>
      <c r="D7" s="35">
        <f ca="1">IF(ISNA(MATCH('Set-up'!$B$14,TBMonths,0))=TRUE,0,SUMIF(TBAll,$A7&amp;"*",OFFSET(TBCY!$C$4,1,MATCH('Set-up'!$B$14,TBMonths,0),TBRowCount,1)))</f>
        <v>0</v>
      </c>
      <c r="E7" s="35">
        <f ca="1">D7-C7</f>
        <v>0</v>
      </c>
      <c r="F7" s="42">
        <f ca="1">IF(C7=0,IF(E7=0,0,-1),E7/ABS(C7))</f>
        <v>0</v>
      </c>
      <c r="G7" s="35">
        <f ca="1">IF(ISNA(MATCH('Set-up'!$B$16,PYMonths,0))=TRUE,0,SUMIF(PYAll,$A7&amp;"*",OFFSET(TBPY!$D$4,1,MATCH('Set-up'!$B$16,PYMonths,0),PYRowCount,1)))</f>
        <v>0</v>
      </c>
      <c r="I7" s="35">
        <f ca="1">IF(ISNA(MATCH('Set-up'!$B$14,ForMonths,0))=TRUE,0,SUMIF(ForAll,$A7&amp;"*",OFFSET(Forecast!$C$4,1,MATCH('Set-up'!$B$14,ForMonths,0),ForRowCount,1)))</f>
        <v>0</v>
      </c>
      <c r="J7" s="35">
        <f ca="1">IF(ISNA(MATCH('Set-up'!$B$14,TBMonths,0))=TRUE,0,SUMIF(TBAll,$A7&amp;"*",OFFSET(TBCY!$C$4,1,MATCH('Set-up'!$B$14,TBMonths,0),TBRowCount,1)))</f>
        <v>0</v>
      </c>
      <c r="K7" s="35">
        <f ca="1">J7-I7</f>
        <v>0</v>
      </c>
      <c r="L7" s="42">
        <f ca="1">IF(I7=0,IF(K7=0,0,-1),K7/ABS(I7))</f>
        <v>0</v>
      </c>
      <c r="M7" s="35">
        <f ca="1">IF(ISNA(MATCH('Set-up'!$B$16,PYMonths,0))=TRUE,0,SUMIF(PYAll,$A7&amp;"*",OFFSET(TBPY!$D$4,1,MATCH('Set-up'!$B$16,PYMonths,0),PYRowCount,1)))</f>
        <v>0</v>
      </c>
    </row>
    <row r="8" spans="1:14" ht="15" customHeight="1" x14ac:dyDescent="0.35">
      <c r="A8" s="19" t="s">
        <v>236</v>
      </c>
      <c r="B8" s="9" t="s">
        <v>18</v>
      </c>
      <c r="C8" s="35">
        <f ca="1">IF(ISNA(MATCH('Set-up'!$B$14,ForMonths,0))=TRUE,0,SUMIF(ForAll,$A8&amp;"*",OFFSET(Forecast!$C$4,1,MATCH('Set-up'!$B$14,ForMonths,0),ForRowCount,1)))</f>
        <v>0</v>
      </c>
      <c r="D8" s="35">
        <f ca="1">IF(ISNA(MATCH('Set-up'!$B$14,TBMonths,0))=TRUE,0,SUMIF(TBAll,$A8&amp;"*",OFFSET(TBCY!$C$4,1,MATCH('Set-up'!$B$14,TBMonths,0),TBRowCount,1)))</f>
        <v>0</v>
      </c>
      <c r="E8" s="35">
        <f ca="1">D8-C8</f>
        <v>0</v>
      </c>
      <c r="F8" s="42">
        <f ca="1">IF(C8=0,IF(E8=0,0,-1),E8/ABS(C8))</f>
        <v>0</v>
      </c>
      <c r="G8" s="35">
        <f ca="1">IF(ISNA(MATCH('Set-up'!$B$16,PYMonths,0))=TRUE,0,SUMIF(PYAll,$A8&amp;"*",OFFSET(TBPY!$D$4,1,MATCH('Set-up'!$B$16,PYMonths,0),PYRowCount,1)))</f>
        <v>0</v>
      </c>
      <c r="I8" s="35">
        <f ca="1">IF(ISNA(MATCH('Set-up'!$B$14,ForMonths,0))=TRUE,0,SUMIF(ForAll,$A8&amp;"*",OFFSET(Forecast!$C$4,1,MATCH('Set-up'!$B$14,ForMonths,0),ForRowCount,1)))</f>
        <v>0</v>
      </c>
      <c r="J8" s="35">
        <f ca="1">IF(ISNA(MATCH('Set-up'!$B$14,TBMonths,0))=TRUE,0,SUMIF(TBAll,$A8&amp;"*",OFFSET(TBCY!$C$4,1,MATCH('Set-up'!$B$14,TBMonths,0),TBRowCount,1)))</f>
        <v>0</v>
      </c>
      <c r="K8" s="35">
        <f ca="1">J8-I8</f>
        <v>0</v>
      </c>
      <c r="L8" s="42">
        <f ca="1">IF(I8=0,IF(K8=0,0,-1),K8/ABS(I8))</f>
        <v>0</v>
      </c>
      <c r="M8" s="35">
        <f ca="1">IF(ISNA(MATCH('Set-up'!$B$16,PYMonths,0))=TRUE,0,SUMIF(PYAll,$A8&amp;"*",OFFSET(TBPY!$D$4,1,MATCH('Set-up'!$B$16,PYMonths,0),PYRowCount,1)))</f>
        <v>0</v>
      </c>
    </row>
    <row r="9" spans="1:14" ht="15" customHeight="1" x14ac:dyDescent="0.35">
      <c r="A9" s="19" t="s">
        <v>106</v>
      </c>
      <c r="B9" s="9" t="s">
        <v>16</v>
      </c>
      <c r="C9" s="35">
        <f ca="1">IF(ISNA(MATCH('Set-up'!$B$14,ForMonths,0))=TRUE,0,SUMIF(ForAll,$A9&amp;"*",OFFSET(Forecast!$C$4,1,MATCH('Set-up'!$B$14,ForMonths,0),ForRowCount,1)))</f>
        <v>0</v>
      </c>
      <c r="D9" s="35">
        <f ca="1">IF(ISNA(MATCH('Set-up'!$B$14,TBMonths,0))=TRUE,0,SUMIF(TBAll,$A9&amp;"*",OFFSET(TBCY!$C$4,1,MATCH('Set-up'!$B$14,TBMonths,0),TBRowCount,1)))</f>
        <v>0</v>
      </c>
      <c r="E9" s="35">
        <f ca="1">D9-C9</f>
        <v>0</v>
      </c>
      <c r="F9" s="42">
        <f ca="1">IF(C9=0,IF(E9=0,0,-1),E9/ABS(C9))</f>
        <v>0</v>
      </c>
      <c r="G9" s="35">
        <f ca="1">IF(ISNA(MATCH('Set-up'!$B$16,PYMonths,0))=TRUE,0,SUMIF(PYAll,$A9&amp;"*",OFFSET(TBPY!$D$4,1,MATCH('Set-up'!$B$16,PYMonths,0),PYRowCount,1)))</f>
        <v>0</v>
      </c>
      <c r="I9" s="35">
        <f ca="1">IF(ISNA(MATCH('Set-up'!$B$14,ForMonths,0))=TRUE,0,SUMIF(ForAll,$A9&amp;"*",OFFSET(Forecast!$C$4,1,MATCH('Set-up'!$B$14,ForMonths,0),ForRowCount,1)))</f>
        <v>0</v>
      </c>
      <c r="J9" s="35">
        <f ca="1">IF(ISNA(MATCH('Set-up'!$B$14,TBMonths,0))=TRUE,0,SUMIF(TBAll,$A9&amp;"*",OFFSET(TBCY!$C$4,1,MATCH('Set-up'!$B$14,TBMonths,0),TBRowCount,1)))</f>
        <v>0</v>
      </c>
      <c r="K9" s="35">
        <f ca="1">J9-I9</f>
        <v>0</v>
      </c>
      <c r="L9" s="42">
        <f ca="1">IF(I9=0,IF(K9=0,0,-1),K9/ABS(I9))</f>
        <v>0</v>
      </c>
      <c r="M9" s="35">
        <f ca="1">IF(ISNA(MATCH('Set-up'!$B$16,PYMonths,0))=TRUE,0,SUMIF(PYAll,$A9&amp;"*",OFFSET(TBPY!$D$4,1,MATCH('Set-up'!$B$16,PYMonths,0),PYRowCount,1)))</f>
        <v>0</v>
      </c>
    </row>
    <row r="10" spans="1:14" ht="15" customHeight="1" x14ac:dyDescent="0.35">
      <c r="C10" s="53">
        <f ca="1">SUM(C7:C9)</f>
        <v>0</v>
      </c>
      <c r="D10" s="53">
        <f ca="1">SUM(D7:D9)</f>
        <v>0</v>
      </c>
      <c r="E10" s="53">
        <f ca="1">SUM(E7:E9)</f>
        <v>0</v>
      </c>
      <c r="F10" s="57">
        <f ca="1">IF(C10=0,IF(E10=0,0,-1),E10/ABS(C10))</f>
        <v>0</v>
      </c>
      <c r="G10" s="53">
        <f ca="1">SUM(G7:G9)</f>
        <v>0</v>
      </c>
      <c r="I10" s="53">
        <f ca="1">SUM(I7:I9)</f>
        <v>0</v>
      </c>
      <c r="J10" s="53">
        <f ca="1">SUM(J7:J9)</f>
        <v>0</v>
      </c>
      <c r="K10" s="53">
        <f ca="1">SUM(K7:K9)</f>
        <v>0</v>
      </c>
      <c r="L10" s="57">
        <f ca="1">IF(I10=0,IF(K10=0,0,-1),K10/ABS(I10))</f>
        <v>0</v>
      </c>
      <c r="M10" s="53">
        <f ca="1">SUM(M7:M9)</f>
        <v>0</v>
      </c>
    </row>
    <row r="11" spans="1:14" s="32" customFormat="1" ht="15" customHeight="1" x14ac:dyDescent="0.4">
      <c r="A11" s="34"/>
      <c r="B11" s="30" t="s">
        <v>30</v>
      </c>
      <c r="C11" s="52"/>
      <c r="D11" s="52"/>
      <c r="E11" s="52"/>
      <c r="F11" s="56"/>
      <c r="G11" s="52"/>
      <c r="H11" s="91"/>
      <c r="I11" s="52"/>
      <c r="J11" s="52"/>
      <c r="K11" s="52"/>
      <c r="L11" s="56"/>
      <c r="M11" s="52"/>
      <c r="N11" s="31"/>
    </row>
    <row r="12" spans="1:14" ht="15" customHeight="1" x14ac:dyDescent="0.35">
      <c r="A12" s="19" t="s">
        <v>237</v>
      </c>
      <c r="B12" s="9" t="s">
        <v>19</v>
      </c>
      <c r="C12" s="35">
        <f ca="1">IF(ISNA(MATCH('Set-up'!$B$14,ForMonths,0))=TRUE,0,SUMIF(ForAll,$A12&amp;"*",OFFSET(Forecast!$C$4,1,MATCH('Set-up'!$B$14,ForMonths,0),ForRowCount,1)))</f>
        <v>0</v>
      </c>
      <c r="D12" s="35">
        <f ca="1">IF(ISNA(MATCH('Set-up'!$B$14,TBMonths,0))=TRUE,0,SUMIF(TBAll,$A12&amp;"*",OFFSET(TBCY!$C$4,1,MATCH('Set-up'!$B$14,TBMonths,0),TBRowCount,1)))</f>
        <v>0</v>
      </c>
      <c r="E12" s="35">
        <f ca="1">D12-C12</f>
        <v>0</v>
      </c>
      <c r="F12" s="42">
        <f ca="1">IF(C12=0,IF(E12=0,0,-1),E12/ABS(C12))</f>
        <v>0</v>
      </c>
      <c r="G12" s="35">
        <f ca="1">IF(ISNA(MATCH('Set-up'!$B$16,PYMonths,0))=TRUE,0,SUMIF(PYAll,$A12&amp;"*",OFFSET(TBPY!$D$4,1,MATCH('Set-up'!$B$16,PYMonths,0),PYRowCount,1)))</f>
        <v>0</v>
      </c>
      <c r="I12" s="35">
        <f ca="1">IF(ISNA(MATCH('Set-up'!$B$14,ForMonths,0))=TRUE,0,SUMIF(ForAll,$A12&amp;"*",OFFSET(Forecast!$C$4,1,MATCH('Set-up'!$B$14,ForMonths,0),ForRowCount,1)))</f>
        <v>0</v>
      </c>
      <c r="J12" s="35">
        <f ca="1">IF(ISNA(MATCH('Set-up'!$B$14,TBMonths,0))=TRUE,0,SUMIF(TBAll,$A12&amp;"*",OFFSET(TBCY!$C$4,1,MATCH('Set-up'!$B$14,TBMonths,0),TBRowCount,1)))</f>
        <v>0</v>
      </c>
      <c r="K12" s="35">
        <f ca="1">J12-I12</f>
        <v>0</v>
      </c>
      <c r="L12" s="42">
        <f ca="1">IF(I12=0,IF(K12=0,0,-1),K12/ABS(I12))</f>
        <v>0</v>
      </c>
      <c r="M12" s="35">
        <f ca="1">IF(ISNA(MATCH('Set-up'!$B$16,PYMonths,0))=TRUE,0,SUMIF(PYAll,$A12&amp;"*",OFFSET(TBPY!$D$4,1,MATCH('Set-up'!$B$16,PYMonths,0),PYRowCount,1)))</f>
        <v>0</v>
      </c>
    </row>
    <row r="13" spans="1:14" ht="15" customHeight="1" x14ac:dyDescent="0.35">
      <c r="A13" s="19" t="s">
        <v>105</v>
      </c>
      <c r="B13" s="9" t="s">
        <v>20</v>
      </c>
      <c r="C13" s="35">
        <f ca="1">IF(ISNA(MATCH('Set-up'!$B$14,ForMonths,0))=TRUE,0,SUMIF(ForAll,$A13&amp;"*",OFFSET(Forecast!$C$4,1,MATCH('Set-up'!$B$14,ForMonths,0),ForRowCount,1)))</f>
        <v>0</v>
      </c>
      <c r="D13" s="35">
        <f ca="1">IF(ISNA(MATCH('Set-up'!$B$14,TBMonths,0))=TRUE,0,SUMIF(TBAll,$A13&amp;"*",OFFSET(TBCY!$C$4,1,MATCH('Set-up'!$B$14,TBMonths,0),TBRowCount,1)))</f>
        <v>0</v>
      </c>
      <c r="E13" s="35">
        <f ca="1">D13-C13</f>
        <v>0</v>
      </c>
      <c r="F13" s="42">
        <f ca="1">IF(C13=0,IF(E13=0,0,-1),E13/ABS(C13))</f>
        <v>0</v>
      </c>
      <c r="G13" s="35">
        <f ca="1">IF(ISNA(MATCH('Set-up'!$B$16,PYMonths,0))=TRUE,0,SUMIF(PYAll,$A13&amp;"*",OFFSET(TBPY!$D$4,1,MATCH('Set-up'!$B$16,PYMonths,0),PYRowCount,1)))</f>
        <v>0</v>
      </c>
      <c r="I13" s="35">
        <f ca="1">IF(ISNA(MATCH('Set-up'!$B$14,ForMonths,0))=TRUE,0,SUMIF(ForAll,$A13&amp;"*",OFFSET(Forecast!$C$4,1,MATCH('Set-up'!$B$14,ForMonths,0),ForRowCount,1)))</f>
        <v>0</v>
      </c>
      <c r="J13" s="35">
        <f ca="1">IF(ISNA(MATCH('Set-up'!$B$14,TBMonths,0))=TRUE,0,SUMIF(TBAll,$A13&amp;"*",OFFSET(TBCY!$C$4,1,MATCH('Set-up'!$B$14,TBMonths,0),TBRowCount,1)))</f>
        <v>0</v>
      </c>
      <c r="K13" s="35">
        <f ca="1">J13-I13</f>
        <v>0</v>
      </c>
      <c r="L13" s="42">
        <f ca="1">IF(I13=0,IF(K13=0,0,-1),K13/ABS(I13))</f>
        <v>0</v>
      </c>
      <c r="M13" s="35">
        <f ca="1">IF(ISNA(MATCH('Set-up'!$B$16,PYMonths,0))=TRUE,0,SUMIF(PYAll,$A13&amp;"*",OFFSET(TBPY!$D$4,1,MATCH('Set-up'!$B$16,PYMonths,0),PYRowCount,1)))</f>
        <v>0</v>
      </c>
    </row>
    <row r="14" spans="1:14" ht="15" customHeight="1" x14ac:dyDescent="0.35">
      <c r="A14" s="19" t="s">
        <v>115</v>
      </c>
      <c r="B14" s="9" t="s">
        <v>238</v>
      </c>
      <c r="C14" s="35">
        <f ca="1">IF(ISNA(MATCH('Set-up'!$B$14,ForMonths,0))=TRUE,0,IF(SUMIF(ForAll,$A14&amp;"*",OFFSET(Forecast!$C$4,1,MATCH('Set-up'!$B$14,ForMonths,0),ForRowCount,1))&gt;0,SUMIF(ForAll,$A14&amp;"*",OFFSET(Forecast!$C$4,1,MATCH('Set-up'!$B$14,ForMonths,0),ForRowCount,1)),0))</f>
        <v>0</v>
      </c>
      <c r="D14" s="35">
        <f ca="1">IF(ISNA(MATCH('Set-up'!$B$14,TBMonths,0))=TRUE,0,IF(SUMIF(TBAll,$A14&amp;"*",OFFSET(TBCY!$C$4,1,MATCH('Set-up'!$B$14,TBMonths,0),TBRowCount,1))&gt;0,SUMIF(TBAll,$A14&amp;"*",OFFSET(TBCY!$C$4,1,MATCH('Set-up'!$B$14,TBMonths,0),TBRowCount,1)),0))</f>
        <v>0</v>
      </c>
      <c r="E14" s="35">
        <f ca="1">D14-C14</f>
        <v>0</v>
      </c>
      <c r="F14" s="42">
        <f ca="1">IF(C14=0,IF(E14=0,0,-1),E14/ABS(C14))</f>
        <v>0</v>
      </c>
      <c r="G14" s="35">
        <f ca="1">IF(ISNA(MATCH('Set-up'!$B$16,PYMonths,0))=TRUE,0,IF(SUMIF(PYAll,$A14&amp;"*",OFFSET(TBPY!$D$4,1,MATCH('Set-up'!$B$16,PYMonths,0),PYRowCount,1))&gt;0,SUMIF(PYAll,$A14&amp;"*",OFFSET(TBPY!$D$4,1,MATCH('Set-up'!$B$16,PYMonths,0),PYRowCount,1)),0))</f>
        <v>0</v>
      </c>
      <c r="I14" s="35">
        <f ca="1">IF(ISNA(MATCH('Set-up'!$B$14,ForMonths,0))=TRUE,0,IF(SUMIF(ForAll,$A14&amp;"*",OFFSET(Forecast!$C$4,1,MATCH('Set-up'!$B$14,ForMonths,0),ForRowCount,1))&gt;0,SUMIF(ForAll,$A14&amp;"*",OFFSET(Forecast!$C$4,1,MATCH('Set-up'!$B$14,ForMonths,0),ForRowCount,1)),0))</f>
        <v>0</v>
      </c>
      <c r="J14" s="35">
        <f ca="1">IF(ISNA(MATCH('Set-up'!$B$14,TBMonths,0))=TRUE,0,IF(SUMIF(TBAll,$A14&amp;"*",OFFSET(TBCY!$C$4,1,MATCH('Set-up'!$B$14,TBMonths,0),TBRowCount,1))&gt;0,SUMIF(TBAll,$A14&amp;"*",OFFSET(TBCY!$C$4,1,MATCH('Set-up'!$B$14,TBMonths,0),TBRowCount,1)),0))</f>
        <v>0</v>
      </c>
      <c r="K14" s="35">
        <f ca="1">J14-I14</f>
        <v>0</v>
      </c>
      <c r="L14" s="42">
        <f ca="1">IF(I14=0,IF(K14=0,0,-1),K14/ABS(I14))</f>
        <v>0</v>
      </c>
      <c r="M14" s="35">
        <f ca="1">IF(ISNA(MATCH('Set-up'!$B$16,PYMonths,0))=TRUE,0,IF(SUMIF(PYAll,$A14&amp;"*",OFFSET(TBPY!$D$4,1,MATCH('Set-up'!$B$16,PYMonths,0),PYRowCount,1))&gt;0,SUMIF(PYAll,$A14&amp;"*",OFFSET(TBPY!$D$4,1,MATCH('Set-up'!$B$16,PYMonths,0),PYRowCount,1)),0))</f>
        <v>0</v>
      </c>
    </row>
    <row r="15" spans="1:14" ht="15" customHeight="1" x14ac:dyDescent="0.35">
      <c r="A15" s="19" t="s">
        <v>114</v>
      </c>
      <c r="B15" s="9" t="s">
        <v>239</v>
      </c>
      <c r="C15" s="35">
        <f ca="1">IF(ISNA(MATCH('Set-up'!$B$14,ForMonths,0))=TRUE,0,SUMIF(ForAll,$A15&amp;"*",OFFSET(Forecast!$C$4,1,MATCH('Set-up'!$B$14,ForMonths,0),ForRowCount,1)))</f>
        <v>0</v>
      </c>
      <c r="D15" s="35">
        <f ca="1">IF(ISNA(MATCH('Set-up'!$B$14,TBMonths,0))=TRUE,0,SUMIF(TBAll,$A15&amp;"*",OFFSET(TBCY!$C$4,1,MATCH('Set-up'!$B$14,TBMonths,0),TBRowCount,1)))</f>
        <v>0</v>
      </c>
      <c r="E15" s="35">
        <f ca="1">D15-C15</f>
        <v>0</v>
      </c>
      <c r="F15" s="42">
        <f ca="1">IF(C15=0,IF(E15=0,0,-1),E15/ABS(C15))</f>
        <v>0</v>
      </c>
      <c r="G15" s="35">
        <f ca="1">IF(ISNA(MATCH('Set-up'!$B$16,PYMonths,0))=TRUE,0,SUMIF(PYAll,$A15&amp;"*",OFFSET(TBPY!$D$4,1,MATCH('Set-up'!$B$16,PYMonths,0),PYRowCount,1)))</f>
        <v>0</v>
      </c>
      <c r="I15" s="35">
        <f ca="1">IF(ISNA(MATCH('Set-up'!$B$14,ForMonths,0))=TRUE,0,SUMIF(ForAll,$A15&amp;"*",OFFSET(Forecast!$C$4,1,MATCH('Set-up'!$B$14,ForMonths,0),ForRowCount,1)))</f>
        <v>0</v>
      </c>
      <c r="J15" s="35">
        <f ca="1">IF(ISNA(MATCH('Set-up'!$B$14,TBMonths,0))=TRUE,0,SUMIF(TBAll,$A15&amp;"*",OFFSET(TBCY!$C$4,1,MATCH('Set-up'!$B$14,TBMonths,0),TBRowCount,1)))</f>
        <v>0</v>
      </c>
      <c r="K15" s="35">
        <f ca="1">J15-I15</f>
        <v>0</v>
      </c>
      <c r="L15" s="42">
        <f ca="1">IF(I15=0,IF(K15=0,0,-1),K15/ABS(I15))</f>
        <v>0</v>
      </c>
      <c r="M15" s="35">
        <f ca="1">IF(ISNA(MATCH('Set-up'!$B$16,PYMonths,0))=TRUE,0,SUMIF(PYAll,$A15&amp;"*",OFFSET(TBPY!$D$4,1,MATCH('Set-up'!$B$16,PYMonths,0),PYRowCount,1)))</f>
        <v>0</v>
      </c>
    </row>
    <row r="16" spans="1:14" ht="15" customHeight="1" x14ac:dyDescent="0.35">
      <c r="C16" s="53">
        <f ca="1">SUM(C12:C15)</f>
        <v>0</v>
      </c>
      <c r="D16" s="53">
        <f ca="1">SUM(D12:D15)</f>
        <v>0</v>
      </c>
      <c r="E16" s="53">
        <f ca="1">SUM(E12:E15)</f>
        <v>0</v>
      </c>
      <c r="F16" s="57">
        <f ca="1">IF(C16=0,IF(E16=0,0,-1),E16/ABS(C16))</f>
        <v>0</v>
      </c>
      <c r="G16" s="53">
        <f ca="1">SUM(G12:G15)</f>
        <v>0</v>
      </c>
      <c r="I16" s="53">
        <f ca="1">SUM(I12:I15)</f>
        <v>0</v>
      </c>
      <c r="J16" s="53">
        <f ca="1">SUM(J12:J15)</f>
        <v>0</v>
      </c>
      <c r="K16" s="53">
        <f ca="1">SUM(K12:K15)</f>
        <v>0</v>
      </c>
      <c r="L16" s="57">
        <f ca="1">IF(I16=0,IF(K16=0,0,-1),K16/ABS(I16))</f>
        <v>0</v>
      </c>
      <c r="M16" s="53">
        <f ca="1">SUM(M12:M15)</f>
        <v>0</v>
      </c>
    </row>
    <row r="17" spans="1:14" ht="15" customHeight="1" x14ac:dyDescent="0.35">
      <c r="C17" s="37"/>
      <c r="D17" s="37"/>
      <c r="E17" s="37"/>
      <c r="F17" s="48"/>
      <c r="G17" s="37"/>
      <c r="I17" s="37"/>
      <c r="J17" s="37"/>
      <c r="K17" s="37"/>
      <c r="L17" s="48"/>
      <c r="M17" s="37"/>
    </row>
    <row r="18" spans="1:14" s="32" customFormat="1" ht="15" customHeight="1" thickBot="1" x14ac:dyDescent="0.45">
      <c r="A18" s="34"/>
      <c r="B18" s="30" t="s">
        <v>31</v>
      </c>
      <c r="C18" s="50">
        <f ca="1">SUM(C10,C16)</f>
        <v>0</v>
      </c>
      <c r="D18" s="50">
        <f ca="1">SUM(D10,D16)</f>
        <v>0</v>
      </c>
      <c r="E18" s="50">
        <f ca="1">SUM(E10,E16)</f>
        <v>0</v>
      </c>
      <c r="F18" s="51">
        <f ca="1">IF(C18=0,IF(E18=0,0,-1),E18/ABS(C18))</f>
        <v>0</v>
      </c>
      <c r="G18" s="50">
        <f ca="1">SUM(G10,G16)</f>
        <v>0</v>
      </c>
      <c r="H18" s="91"/>
      <c r="I18" s="50">
        <f ca="1">SUM(I10,I16)</f>
        <v>0</v>
      </c>
      <c r="J18" s="50">
        <f ca="1">SUM(J10,J16)</f>
        <v>0</v>
      </c>
      <c r="K18" s="50">
        <f ca="1">SUM(K10,K16)</f>
        <v>0</v>
      </c>
      <c r="L18" s="51">
        <f ca="1">IF(I18=0,IF(K18=0,0,-1),K18/ABS(I18))</f>
        <v>0</v>
      </c>
      <c r="M18" s="50">
        <f ca="1">SUM(M10,M16)</f>
        <v>0</v>
      </c>
      <c r="N18" s="31"/>
    </row>
    <row r="19" spans="1:14" ht="15" customHeight="1" thickTop="1" x14ac:dyDescent="0.35"/>
    <row r="20" spans="1:14" s="32" customFormat="1" ht="15" customHeight="1" x14ac:dyDescent="0.4">
      <c r="A20" s="34"/>
      <c r="B20" s="30" t="s">
        <v>21</v>
      </c>
      <c r="C20" s="52"/>
      <c r="D20" s="52"/>
      <c r="E20" s="52"/>
      <c r="F20" s="56"/>
      <c r="G20" s="52"/>
      <c r="H20" s="91"/>
      <c r="I20" s="52"/>
      <c r="J20" s="52"/>
      <c r="K20" s="52"/>
      <c r="L20" s="56"/>
      <c r="M20" s="52"/>
      <c r="N20" s="31"/>
    </row>
    <row r="21" spans="1:14" s="32" customFormat="1" ht="15" customHeight="1" x14ac:dyDescent="0.4">
      <c r="A21" s="34"/>
      <c r="B21" s="30" t="s">
        <v>22</v>
      </c>
      <c r="C21" s="52"/>
      <c r="D21" s="52"/>
      <c r="E21" s="52"/>
      <c r="F21" s="56"/>
      <c r="G21" s="52"/>
      <c r="H21" s="91"/>
      <c r="I21" s="52"/>
      <c r="J21" s="52"/>
      <c r="K21" s="52"/>
      <c r="L21" s="56"/>
      <c r="M21" s="52"/>
      <c r="N21" s="31"/>
    </row>
    <row r="22" spans="1:14" ht="15" customHeight="1" x14ac:dyDescent="0.35">
      <c r="A22" s="19" t="s">
        <v>117</v>
      </c>
      <c r="B22" s="9" t="s">
        <v>26</v>
      </c>
      <c r="C22" s="35">
        <f ca="1">-IF(ISNA(MATCH('Set-up'!$B$14,ForMonths,0))=TRUE,0,SUMIF(ForAll,$A22&amp;"*",OFFSET(Forecast!$C$4,1,MATCH('Set-up'!$B$14,ForMonths,0),ForRowCount,1)))</f>
        <v>0</v>
      </c>
      <c r="D22" s="35">
        <f ca="1">-IF(ISNA(MATCH('Set-up'!$B$14,TBMonths,0))=TRUE,0,SUMIF(TBAll,$A22&amp;"*",OFFSET(TBCY!$C$4,1,MATCH('Set-up'!$B$14,TBMonths,0),TBRowCount,1)))</f>
        <v>0</v>
      </c>
      <c r="E22" s="35">
        <f ca="1">D22-C22</f>
        <v>0</v>
      </c>
      <c r="F22" s="42">
        <f ca="1">IF(C22=0,IF(E22=0,0,-1),E22/ABS(C22))</f>
        <v>0</v>
      </c>
      <c r="G22" s="35">
        <f ca="1">-IF(ISNA(MATCH('Set-up'!$B$16,PYMonths,0))=TRUE,0,SUMIF(PYAll,$A22&amp;"*",OFFSET(TBPY!$D$4,1,MATCH('Set-up'!$B$16,PYMonths,0),PYRowCount,1)))</f>
        <v>0</v>
      </c>
      <c r="I22" s="35">
        <f ca="1">-IF(ISNA(MATCH('Set-up'!$B$14,ForMonths,0))=TRUE,0,SUMIF(ForAll,$A22&amp;"*",OFFSET(Forecast!$C$4,1,MATCH('Set-up'!$B$14,ForMonths,0),ForRowCount,1)))</f>
        <v>0</v>
      </c>
      <c r="J22" s="35">
        <f ca="1">-IF(ISNA(MATCH('Set-up'!$B$14,TBMonths,0))=TRUE,0,SUMIF(TBAll,$A22&amp;"*",OFFSET(TBCY!$C$4,1,MATCH('Set-up'!$B$14,TBMonths,0),TBRowCount,1)))</f>
        <v>0</v>
      </c>
      <c r="K22" s="35">
        <f ca="1">J22-I22</f>
        <v>0</v>
      </c>
      <c r="L22" s="42">
        <f ca="1">IF(I22=0,IF(K22=0,0,-1),K22/ABS(I22))</f>
        <v>0</v>
      </c>
      <c r="M22" s="35">
        <f ca="1">-IF(ISNA(MATCH('Set-up'!$B$16,PYMonths,0))=TRUE,0,SUMIF(PYAll,$A22&amp;"*",OFFSET(TBPY!$D$4,1,MATCH('Set-up'!$B$16,PYMonths,0),PYRowCount,1)))</f>
        <v>0</v>
      </c>
    </row>
    <row r="23" spans="1:14" ht="15" customHeight="1" x14ac:dyDescent="0.35">
      <c r="B23" s="9" t="s">
        <v>27</v>
      </c>
      <c r="C23" s="35">
        <f ca="1">IS!C39</f>
        <v>0</v>
      </c>
      <c r="D23" s="35">
        <f ca="1">IS!D39</f>
        <v>0</v>
      </c>
      <c r="E23" s="35">
        <f ca="1">D23-C23</f>
        <v>0</v>
      </c>
      <c r="F23" s="42">
        <f ca="1">IF(C23=0,IF(E23=0,0,-1),E23/ABS(C23))</f>
        <v>0</v>
      </c>
      <c r="G23" s="35">
        <f ca="1">IS!G39</f>
        <v>0</v>
      </c>
      <c r="I23" s="35">
        <f ca="1">IS!I39</f>
        <v>0</v>
      </c>
      <c r="J23" s="35">
        <f ca="1">IS!J39</f>
        <v>0</v>
      </c>
      <c r="K23" s="35">
        <f ca="1">J23-I23</f>
        <v>0</v>
      </c>
      <c r="L23" s="42">
        <f ca="1">IF(I23=0,IF(K23=0,0,-1),K23/ABS(I23))</f>
        <v>0</v>
      </c>
      <c r="M23" s="35">
        <f ca="1">IS!M39</f>
        <v>0</v>
      </c>
    </row>
    <row r="24" spans="1:14" ht="15" customHeight="1" x14ac:dyDescent="0.35">
      <c r="C24" s="53">
        <f ca="1">SUM(C22:C23)</f>
        <v>0</v>
      </c>
      <c r="D24" s="53">
        <f ca="1">SUM(D22:D23)</f>
        <v>0</v>
      </c>
      <c r="E24" s="53">
        <f ca="1">SUM(E22:E23)</f>
        <v>0</v>
      </c>
      <c r="F24" s="57">
        <f ca="1">IF(C24=0,IF(E24=0,0,-1),E24/ABS(C24))</f>
        <v>0</v>
      </c>
      <c r="G24" s="53">
        <f ca="1">SUM(G22:G23)</f>
        <v>0</v>
      </c>
      <c r="I24" s="53">
        <f ca="1">SUM(I22:I23)</f>
        <v>0</v>
      </c>
      <c r="J24" s="53">
        <f ca="1">SUM(J22:J23)</f>
        <v>0</v>
      </c>
      <c r="K24" s="53">
        <f ca="1">SUM(K22:K23)</f>
        <v>0</v>
      </c>
      <c r="L24" s="57">
        <f ca="1">IF(I24=0,IF(K24=0,0,-1),K24/ABS(I24))</f>
        <v>0</v>
      </c>
      <c r="M24" s="53">
        <f ca="1">SUM(M22:M23)</f>
        <v>0</v>
      </c>
    </row>
    <row r="25" spans="1:14" s="32" customFormat="1" ht="15" customHeight="1" x14ac:dyDescent="0.4">
      <c r="A25" s="34"/>
      <c r="B25" s="30" t="s">
        <v>25</v>
      </c>
      <c r="C25" s="52"/>
      <c r="D25" s="52"/>
      <c r="E25" s="52"/>
      <c r="F25" s="56"/>
      <c r="G25" s="52"/>
      <c r="H25" s="91"/>
      <c r="I25" s="52"/>
      <c r="J25" s="52"/>
      <c r="K25" s="52"/>
      <c r="L25" s="56"/>
      <c r="M25" s="52"/>
      <c r="N25" s="31"/>
    </row>
    <row r="26" spans="1:14" ht="15" customHeight="1" x14ac:dyDescent="0.35">
      <c r="A26" s="19" t="s">
        <v>108</v>
      </c>
      <c r="B26" s="9" t="s">
        <v>84</v>
      </c>
      <c r="C26" s="35">
        <f ca="1">-IF(ISNA(MATCH('Set-up'!$B$14,ForMonths,0))=TRUE,0,SUMIF(ForAll,$A26&amp;"*",OFFSET(Forecast!$C$4,1,MATCH('Set-up'!$B$14,ForMonths,0),ForRowCount,1)))</f>
        <v>0</v>
      </c>
      <c r="D26" s="35">
        <f ca="1">-IF(ISNA(MATCH('Set-up'!$B$14,TBMonths,0))=TRUE,0,SUMIF(TBAll,$A26&amp;"*",OFFSET(TBCY!$C$4,1,MATCH('Set-up'!$B$14,TBMonths,0),TBRowCount,1)))</f>
        <v>0</v>
      </c>
      <c r="E26" s="35">
        <f ca="1">D26-C26</f>
        <v>0</v>
      </c>
      <c r="F26" s="42">
        <f ca="1">IF(C26=0,IF(E26=0,0,-1),E26/ABS(C26))</f>
        <v>0</v>
      </c>
      <c r="G26" s="35">
        <f ca="1">-IF(ISNA(MATCH('Set-up'!$B$16,PYMonths,0))=TRUE,0,SUMIF(PYAll,$A26&amp;"*",OFFSET(TBPY!$D$4,1,MATCH('Set-up'!$B$16,PYMonths,0),PYRowCount,1)))</f>
        <v>0</v>
      </c>
      <c r="I26" s="35">
        <f ca="1">-IF(ISNA(MATCH('Set-up'!$B$14,ForMonths,0))=TRUE,0,SUMIF(ForAll,$A26&amp;"*",OFFSET(Forecast!$C$4,1,MATCH('Set-up'!$B$14,ForMonths,0),ForRowCount,1)))</f>
        <v>0</v>
      </c>
      <c r="J26" s="35">
        <f ca="1">-IF(ISNA(MATCH('Set-up'!$B$14,TBMonths,0))=TRUE,0,SUMIF(TBAll,$A26&amp;"*",OFFSET(TBCY!$C$4,1,MATCH('Set-up'!$B$14,TBMonths,0),TBRowCount,1)))</f>
        <v>0</v>
      </c>
      <c r="K26" s="35">
        <f ca="1">J26-I26</f>
        <v>0</v>
      </c>
      <c r="L26" s="42">
        <f ca="1">IF(I26=0,IF(K26=0,0,-1),K26/ABS(I26))</f>
        <v>0</v>
      </c>
      <c r="M26" s="35">
        <f ca="1">-IF(ISNA(MATCH('Set-up'!$B$16,PYMonths,0))=TRUE,0,SUMIF(PYAll,$A26&amp;"*",OFFSET(TBPY!$D$4,1,MATCH('Set-up'!$B$16,PYMonths,0),PYRowCount,1)))</f>
        <v>0</v>
      </c>
    </row>
    <row r="27" spans="1:14" ht="15" customHeight="1" x14ac:dyDescent="0.35">
      <c r="A27" s="19" t="s">
        <v>109</v>
      </c>
      <c r="B27" s="9" t="s">
        <v>85</v>
      </c>
      <c r="C27" s="35">
        <f ca="1">-IF(ISNA(MATCH('Set-up'!$B$14,ForMonths,0))=TRUE,0,SUMIF(ForAll,$A27&amp;"*",OFFSET(Forecast!$C$4,1,MATCH('Set-up'!$B$14,ForMonths,0),ForRowCount,1)))</f>
        <v>0</v>
      </c>
      <c r="D27" s="35">
        <f ca="1">-IF(ISNA(MATCH('Set-up'!$B$14,TBMonths,0))=TRUE,0,SUMIF(TBAll,$A27&amp;"*",OFFSET(TBCY!$C$4,1,MATCH('Set-up'!$B$14,TBMonths,0),TBRowCount,1)))</f>
        <v>0</v>
      </c>
      <c r="E27" s="35">
        <f ca="1">D27-C27</f>
        <v>0</v>
      </c>
      <c r="F27" s="42">
        <f ca="1">IF(C27=0,IF(E27=0,0,-1),E27/ABS(C27))</f>
        <v>0</v>
      </c>
      <c r="G27" s="35">
        <f ca="1">-IF(ISNA(MATCH('Set-up'!$B$16,PYMonths,0))=TRUE,0,SUMIF(PYAll,$A27&amp;"*",OFFSET(TBPY!$D$4,1,MATCH('Set-up'!$B$16,PYMonths,0),PYRowCount,1)))</f>
        <v>0</v>
      </c>
      <c r="I27" s="35">
        <f ca="1">-IF(ISNA(MATCH('Set-up'!$B$14,ForMonths,0))=TRUE,0,SUMIF(ForAll,$A27&amp;"*",OFFSET(Forecast!$C$4,1,MATCH('Set-up'!$B$14,ForMonths,0),ForRowCount,1)))</f>
        <v>0</v>
      </c>
      <c r="J27" s="35">
        <f ca="1">-IF(ISNA(MATCH('Set-up'!$B$14,TBMonths,0))=TRUE,0,SUMIF(TBAll,$A27&amp;"*",OFFSET(TBCY!$C$4,1,MATCH('Set-up'!$B$14,TBMonths,0),TBRowCount,1)))</f>
        <v>0</v>
      </c>
      <c r="K27" s="35">
        <f ca="1">J27-I27</f>
        <v>0</v>
      </c>
      <c r="L27" s="42">
        <f ca="1">IF(I27=0,IF(K27=0,0,-1),K27/ABS(I27))</f>
        <v>0</v>
      </c>
      <c r="M27" s="35">
        <f ca="1">-IF(ISNA(MATCH('Set-up'!$B$16,PYMonths,0))=TRUE,0,SUMIF(PYAll,$A27&amp;"*",OFFSET(TBPY!$D$4,1,MATCH('Set-up'!$B$16,PYMonths,0),PYRowCount,1)))</f>
        <v>0</v>
      </c>
    </row>
    <row r="28" spans="1:14" ht="15" customHeight="1" x14ac:dyDescent="0.35">
      <c r="A28" s="19" t="s">
        <v>107</v>
      </c>
      <c r="B28" s="9" t="s">
        <v>28</v>
      </c>
      <c r="C28" s="35">
        <f ca="1">-IF(ISNA(MATCH('Set-up'!$B$14,ForMonths,0))=TRUE,0,SUMIF(ForAll,$A28&amp;"*",OFFSET(Forecast!$C$4,1,MATCH('Set-up'!$B$14,ForMonths,0),ForRowCount,1)))</f>
        <v>0</v>
      </c>
      <c r="D28" s="35">
        <f ca="1">-IF(ISNA(MATCH('Set-up'!$B$14,TBMonths,0))=TRUE,0,SUMIF(TBAll,$A28&amp;"*",OFFSET(TBCY!$C$4,1,MATCH('Set-up'!$B$14,TBMonths,0),TBRowCount,1)))</f>
        <v>0</v>
      </c>
      <c r="E28" s="35">
        <f ca="1">D28-C28</f>
        <v>0</v>
      </c>
      <c r="F28" s="42">
        <f ca="1">IF(C28=0,IF(E28=0,0,-1),E28/ABS(C28))</f>
        <v>0</v>
      </c>
      <c r="G28" s="35">
        <f ca="1">-IF(ISNA(MATCH('Set-up'!$B$16,PYMonths,0))=TRUE,0,SUMIF(PYAll,$A28&amp;"*",OFFSET(TBPY!$D$4,1,MATCH('Set-up'!$B$16,PYMonths,0),PYRowCount,1)))</f>
        <v>0</v>
      </c>
      <c r="I28" s="35">
        <f ca="1">-IF(ISNA(MATCH('Set-up'!$B$14,ForMonths,0))=TRUE,0,SUMIF(ForAll,$A28&amp;"*",OFFSET(Forecast!$C$4,1,MATCH('Set-up'!$B$14,ForMonths,0),ForRowCount,1)))</f>
        <v>0</v>
      </c>
      <c r="J28" s="35">
        <f ca="1">-IF(ISNA(MATCH('Set-up'!$B$14,TBMonths,0))=TRUE,0,SUMIF(TBAll,$A28&amp;"*",OFFSET(TBCY!$C$4,1,MATCH('Set-up'!$B$14,TBMonths,0),TBRowCount,1)))</f>
        <v>0</v>
      </c>
      <c r="K28" s="35">
        <f ca="1">J28-I28</f>
        <v>0</v>
      </c>
      <c r="L28" s="42">
        <f ca="1">IF(I28=0,IF(K28=0,0,-1),K28/ABS(I28))</f>
        <v>0</v>
      </c>
      <c r="M28" s="35">
        <f ca="1">-IF(ISNA(MATCH('Set-up'!$B$16,PYMonths,0))=TRUE,0,SUMIF(PYAll,$A28&amp;"*",OFFSET(TBPY!$D$4,1,MATCH('Set-up'!$B$16,PYMonths,0),PYRowCount,1)))</f>
        <v>0</v>
      </c>
    </row>
    <row r="29" spans="1:14" ht="15" customHeight="1" x14ac:dyDescent="0.35">
      <c r="C29" s="54">
        <f ca="1">SUM(C26:C28)</f>
        <v>0</v>
      </c>
      <c r="D29" s="54">
        <f ca="1">SUM(D26:D28)</f>
        <v>0</v>
      </c>
      <c r="E29" s="54">
        <f ca="1">SUM(E26:E28)</f>
        <v>0</v>
      </c>
      <c r="F29" s="58">
        <f ca="1">IF(C29=0,IF(E29=0,0,-1),E29/ABS(C29))</f>
        <v>0</v>
      </c>
      <c r="G29" s="54">
        <f ca="1">SUM(G26:G28)</f>
        <v>0</v>
      </c>
      <c r="I29" s="54">
        <f ca="1">SUM(I26:I28)</f>
        <v>0</v>
      </c>
      <c r="J29" s="54">
        <f ca="1">SUM(J26:J28)</f>
        <v>0</v>
      </c>
      <c r="K29" s="54">
        <f ca="1">SUM(K26:K28)</f>
        <v>0</v>
      </c>
      <c r="L29" s="58">
        <f ca="1">IF(I29=0,IF(K29=0,0,-1),K29/ABS(I29))</f>
        <v>0</v>
      </c>
      <c r="M29" s="54">
        <f ca="1">SUM(M26:M28)</f>
        <v>0</v>
      </c>
    </row>
    <row r="31" spans="1:14" s="32" customFormat="1" ht="15" customHeight="1" x14ac:dyDescent="0.4">
      <c r="A31" s="34"/>
      <c r="B31" s="30" t="s">
        <v>32</v>
      </c>
      <c r="C31" s="52"/>
      <c r="D31" s="52"/>
      <c r="E31" s="52"/>
      <c r="F31" s="56"/>
      <c r="G31" s="52"/>
      <c r="H31" s="91"/>
      <c r="I31" s="52"/>
      <c r="J31" s="52"/>
      <c r="K31" s="52"/>
      <c r="L31" s="56"/>
      <c r="M31" s="52"/>
      <c r="N31" s="31"/>
    </row>
    <row r="32" spans="1:14" ht="15" customHeight="1" x14ac:dyDescent="0.35">
      <c r="A32" s="19" t="s">
        <v>115</v>
      </c>
      <c r="B32" s="9" t="s">
        <v>33</v>
      </c>
      <c r="C32" s="35">
        <f ca="1">-IF(ISNA(MATCH('Set-up'!$B$14,ForMonths,0))=TRUE,0,IF(SUMIF(ForAll,$A32&amp;"*",OFFSET(Forecast!$C$4,1,MATCH('Set-up'!$B$14,ForMonths,0),ForRowCount,1))&lt;=0,SUMIF(ForAll,$A32&amp;"*",OFFSET(Forecast!$C$4,1,MATCH('Set-up'!$B$14,ForMonths,0),ForRowCount,1)),0))</f>
        <v>0</v>
      </c>
      <c r="D32" s="35">
        <f ca="1">-IF(ISNA(MATCH('Set-up'!$B$14,TBMonths,0))=TRUE,0,IF(SUMIF(TBAll,$A32&amp;"*",OFFSET(TBCY!$C$4,1,MATCH('Set-up'!$B$14,TBMonths,0),TBRowCount,1))&lt;=0,SUMIF(TBAll,$A32&amp;"*",OFFSET(TBCY!$C$4,1,MATCH('Set-up'!$B$14,TBMonths,0),TBRowCount,1)),0))</f>
        <v>0</v>
      </c>
      <c r="E32" s="35">
        <f t="shared" ref="E32:E37" ca="1" si="0">D32-C32</f>
        <v>0</v>
      </c>
      <c r="F32" s="42">
        <f t="shared" ref="F32:F38" ca="1" si="1">IF(C32=0,IF(E32=0,0,-1),E32/ABS(C32))</f>
        <v>0</v>
      </c>
      <c r="G32" s="35">
        <f ca="1">-IF(ISNA(MATCH('Set-up'!$B$16,PYMonths,0))=TRUE,0,IF(SUMIF(PYAll,$A32&amp;"*",OFFSET(TBPY!$D$4,1,MATCH('Set-up'!$B$16,PYMonths,0),PYRowCount,1))&lt;=0,SUMIF(PYAll,$A32&amp;"*",OFFSET(TBPY!$D$4,1,MATCH('Set-up'!$B$16,PYMonths,0),PYRowCount,1)),0))</f>
        <v>0</v>
      </c>
      <c r="I32" s="35">
        <f ca="1">-IF(ISNA(MATCH('Set-up'!$B$14,ForMonths,0))=TRUE,0,IF(SUMIF(ForAll,$A32&amp;"*",OFFSET(Forecast!$C$4,1,MATCH('Set-up'!$B$14,ForMonths,0),ForRowCount,1))&lt;=0,SUMIF(ForAll,$A32&amp;"*",OFFSET(Forecast!$C$4,1,MATCH('Set-up'!$B$14,ForMonths,0),ForRowCount,1)),0))</f>
        <v>0</v>
      </c>
      <c r="J32" s="35">
        <f ca="1">-IF(ISNA(MATCH('Set-up'!$B$14,TBMonths,0))=TRUE,0,IF(SUMIF(TBAll,$A32&amp;"*",OFFSET(TBCY!$C$4,1,MATCH('Set-up'!$B$14,TBMonths,0),TBRowCount,1))&lt;=0,SUMIF(TBAll,$A32&amp;"*",OFFSET(TBCY!$C$4,1,MATCH('Set-up'!$B$14,TBMonths,0),TBRowCount,1)),0))</f>
        <v>0</v>
      </c>
      <c r="K32" s="35">
        <f t="shared" ref="K32:K37" ca="1" si="2">J32-I32</f>
        <v>0</v>
      </c>
      <c r="L32" s="42">
        <f t="shared" ref="L32:L38" ca="1" si="3">IF(I32=0,IF(K32=0,0,-1),K32/ABS(I32))</f>
        <v>0</v>
      </c>
      <c r="M32" s="35">
        <f ca="1">-IF(ISNA(MATCH('Set-up'!$B$16,PYMonths,0))=TRUE,0,IF(SUMIF(PYAll,$A32&amp;"*",OFFSET(TBPY!$D$4,1,MATCH('Set-up'!$B$16,PYMonths,0),PYRowCount,1))&lt;=0,SUMIF(PYAll,$A32&amp;"*",OFFSET(TBPY!$D$4,1,MATCH('Set-up'!$B$16,PYMonths,0),PYRowCount,1)),0))</f>
        <v>0</v>
      </c>
    </row>
    <row r="33" spans="1:14" ht="15" customHeight="1" x14ac:dyDescent="0.35">
      <c r="A33" s="19" t="s">
        <v>110</v>
      </c>
      <c r="B33" s="9" t="s">
        <v>34</v>
      </c>
      <c r="C33" s="35">
        <f ca="1">-IF(ISNA(MATCH('Set-up'!$B$14,ForMonths,0))=TRUE,0,SUMIF(ForAll,$A33&amp;"*",OFFSET(Forecast!$C$4,1,MATCH('Set-up'!$B$14,ForMonths,0),ForRowCount,1)))</f>
        <v>0</v>
      </c>
      <c r="D33" s="35">
        <f ca="1">-IF(ISNA(MATCH('Set-up'!$B$14,TBMonths,0))=TRUE,0,SUMIF(TBAll,$A33&amp;"*",OFFSET(TBCY!$C$4,1,MATCH('Set-up'!$B$14,TBMonths,0),TBRowCount,1)))</f>
        <v>0</v>
      </c>
      <c r="E33" s="35">
        <f t="shared" ca="1" si="0"/>
        <v>0</v>
      </c>
      <c r="F33" s="42">
        <f t="shared" ca="1" si="1"/>
        <v>0</v>
      </c>
      <c r="G33" s="35">
        <f ca="1">-IF(ISNA(MATCH('Set-up'!$B$16,PYMonths,0))=TRUE,0,SUMIF(PYAll,$A33&amp;"*",OFFSET(TBPY!$D$4,1,MATCH('Set-up'!$B$16,PYMonths,0),PYRowCount,1)))</f>
        <v>0</v>
      </c>
      <c r="I33" s="35">
        <f ca="1">-IF(ISNA(MATCH('Set-up'!$B$14,ForMonths,0))=TRUE,0,SUMIF(ForAll,$A33&amp;"*",OFFSET(Forecast!$C$4,1,MATCH('Set-up'!$B$14,ForMonths,0),ForRowCount,1)))</f>
        <v>0</v>
      </c>
      <c r="J33" s="35">
        <f ca="1">-IF(ISNA(MATCH('Set-up'!$B$14,TBMonths,0))=TRUE,0,SUMIF(TBAll,$A33&amp;"*",OFFSET(TBCY!$C$4,1,MATCH('Set-up'!$B$14,TBMonths,0),TBRowCount,1)))</f>
        <v>0</v>
      </c>
      <c r="K33" s="35">
        <f t="shared" ca="1" si="2"/>
        <v>0</v>
      </c>
      <c r="L33" s="42">
        <f t="shared" ca="1" si="3"/>
        <v>0</v>
      </c>
      <c r="M33" s="35">
        <f ca="1">-IF(ISNA(MATCH('Set-up'!$B$16,PYMonths,0))=TRUE,0,SUMIF(PYAll,$A33&amp;"*",OFFSET(TBPY!$D$4,1,MATCH('Set-up'!$B$16,PYMonths,0),PYRowCount,1)))</f>
        <v>0</v>
      </c>
    </row>
    <row r="34" spans="1:14" ht="15" customHeight="1" x14ac:dyDescent="0.35">
      <c r="A34" s="19" t="s">
        <v>116</v>
      </c>
      <c r="B34" s="9" t="s">
        <v>86</v>
      </c>
      <c r="C34" s="35">
        <f ca="1">-IF(ISNA(MATCH('Set-up'!$B$14,ForMonths,0))=TRUE,0,SUMIF(ForAll,$A34&amp;"*",OFFSET(Forecast!$C$4,1,MATCH('Set-up'!$B$14,ForMonths,0),ForRowCount,1)))</f>
        <v>0</v>
      </c>
      <c r="D34" s="35">
        <f ca="1">-IF(ISNA(MATCH('Set-up'!$B$14,TBMonths,0))=TRUE,0,SUMIF(TBAll,$A34&amp;"*",OFFSET(TBCY!$C$4,1,MATCH('Set-up'!$B$14,TBMonths,0),TBRowCount,1)))</f>
        <v>0</v>
      </c>
      <c r="E34" s="35">
        <f t="shared" ca="1" si="0"/>
        <v>0</v>
      </c>
      <c r="F34" s="42">
        <f t="shared" ca="1" si="1"/>
        <v>0</v>
      </c>
      <c r="G34" s="35">
        <f ca="1">-IF(ISNA(MATCH('Set-up'!$B$16,PYMonths,0))=TRUE,0,SUMIF(PYAll,$A34&amp;"*",OFFSET(TBPY!$D$4,1,MATCH('Set-up'!$B$16,PYMonths,0),PYRowCount,1)))</f>
        <v>0</v>
      </c>
      <c r="I34" s="35">
        <f ca="1">-IF(ISNA(MATCH('Set-up'!$B$14,ForMonths,0))=TRUE,0,SUMIF(ForAll,$A34&amp;"*",OFFSET(Forecast!$C$4,1,MATCH('Set-up'!$B$14,ForMonths,0),ForRowCount,1)))</f>
        <v>0</v>
      </c>
      <c r="J34" s="35">
        <f ca="1">-IF(ISNA(MATCH('Set-up'!$B$14,TBMonths,0))=TRUE,0,SUMIF(TBAll,$A34&amp;"*",OFFSET(TBCY!$C$4,1,MATCH('Set-up'!$B$14,TBMonths,0),TBRowCount,1)))</f>
        <v>0</v>
      </c>
      <c r="K34" s="35">
        <f t="shared" ca="1" si="2"/>
        <v>0</v>
      </c>
      <c r="L34" s="42">
        <f t="shared" ca="1" si="3"/>
        <v>0</v>
      </c>
      <c r="M34" s="35">
        <f ca="1">-IF(ISNA(MATCH('Set-up'!$B$16,PYMonths,0))=TRUE,0,SUMIF(PYAll,$A34&amp;"*",OFFSET(TBPY!$D$4,1,MATCH('Set-up'!$B$16,PYMonths,0),PYRowCount,1)))</f>
        <v>0</v>
      </c>
    </row>
    <row r="35" spans="1:14" ht="15" customHeight="1" x14ac:dyDescent="0.35">
      <c r="A35" s="19" t="s">
        <v>111</v>
      </c>
      <c r="B35" s="9" t="s">
        <v>35</v>
      </c>
      <c r="C35" s="35">
        <f ca="1">-IF(ISNA(MATCH('Set-up'!$B$14,ForMonths,0))=TRUE,0,SUMIF(ForAll,$A35&amp;"*",OFFSET(Forecast!$C$4,1,MATCH('Set-up'!$B$14,ForMonths,0),ForRowCount,1)))</f>
        <v>0</v>
      </c>
      <c r="D35" s="35">
        <f ca="1">-IF(ISNA(MATCH('Set-up'!$B$14,TBMonths,0))=TRUE,0,SUMIF(TBAll,$A35&amp;"*",OFFSET(TBCY!$C$4,1,MATCH('Set-up'!$B$14,TBMonths,0),TBRowCount,1)))</f>
        <v>0</v>
      </c>
      <c r="E35" s="35">
        <f t="shared" ca="1" si="0"/>
        <v>0</v>
      </c>
      <c r="F35" s="42">
        <f t="shared" ca="1" si="1"/>
        <v>0</v>
      </c>
      <c r="G35" s="35">
        <f ca="1">-IF(ISNA(MATCH('Set-up'!$B$16,PYMonths,0))=TRUE,0,SUMIF(PYAll,$A35&amp;"*",OFFSET(TBPY!$D$4,1,MATCH('Set-up'!$B$16,PYMonths,0),PYRowCount,1)))</f>
        <v>0</v>
      </c>
      <c r="I35" s="35">
        <f ca="1">-IF(ISNA(MATCH('Set-up'!$B$14,ForMonths,0))=TRUE,0,SUMIF(ForAll,$A35&amp;"*",OFFSET(Forecast!$C$4,1,MATCH('Set-up'!$B$14,ForMonths,0),ForRowCount,1)))</f>
        <v>0</v>
      </c>
      <c r="J35" s="35">
        <f ca="1">-IF(ISNA(MATCH('Set-up'!$B$14,TBMonths,0))=TRUE,0,SUMIF(TBAll,$A35&amp;"*",OFFSET(TBCY!$C$4,1,MATCH('Set-up'!$B$14,TBMonths,0),TBRowCount,1)))</f>
        <v>0</v>
      </c>
      <c r="K35" s="35">
        <f t="shared" ca="1" si="2"/>
        <v>0</v>
      </c>
      <c r="L35" s="42">
        <f t="shared" ca="1" si="3"/>
        <v>0</v>
      </c>
      <c r="M35" s="35">
        <f ca="1">-IF(ISNA(MATCH('Set-up'!$B$16,PYMonths,0))=TRUE,0,SUMIF(PYAll,$A35&amp;"*",OFFSET(TBPY!$D$4,1,MATCH('Set-up'!$B$16,PYMonths,0),PYRowCount,1)))</f>
        <v>0</v>
      </c>
    </row>
    <row r="36" spans="1:14" ht="15" customHeight="1" x14ac:dyDescent="0.35">
      <c r="A36" s="19" t="s">
        <v>113</v>
      </c>
      <c r="B36" s="9" t="s">
        <v>94</v>
      </c>
      <c r="C36" s="35">
        <f ca="1">-IF(ISNA(MATCH('Set-up'!$B$14,ForMonths,0))=TRUE,0,SUMIF(ForAll,$A36&amp;"*",OFFSET(Forecast!$C$4,1,MATCH('Set-up'!$B$14,ForMonths,0),ForRowCount,1)))</f>
        <v>0</v>
      </c>
      <c r="D36" s="35">
        <f ca="1">-IF(ISNA(MATCH('Set-up'!$B$14,TBMonths,0))=TRUE,0,SUMIF(TBAll,$A36&amp;"*",OFFSET(TBCY!$C$4,1,MATCH('Set-up'!$B$14,TBMonths,0),TBRowCount,1)))</f>
        <v>0</v>
      </c>
      <c r="E36" s="35">
        <f t="shared" ca="1" si="0"/>
        <v>0</v>
      </c>
      <c r="F36" s="42">
        <f t="shared" ca="1" si="1"/>
        <v>0</v>
      </c>
      <c r="G36" s="35">
        <f ca="1">-IF(ISNA(MATCH('Set-up'!$B$16,PYMonths,0))=TRUE,0,SUMIF(PYAll,$A36&amp;"*",OFFSET(TBPY!$D$4,1,MATCH('Set-up'!$B$16,PYMonths,0),PYRowCount,1)))</f>
        <v>0</v>
      </c>
      <c r="I36" s="35">
        <f ca="1">-IF(ISNA(MATCH('Set-up'!$B$14,ForMonths,0))=TRUE,0,SUMIF(ForAll,$A36&amp;"*",OFFSET(Forecast!$C$4,1,MATCH('Set-up'!$B$14,ForMonths,0),ForRowCount,1)))</f>
        <v>0</v>
      </c>
      <c r="J36" s="35">
        <f ca="1">-IF(ISNA(MATCH('Set-up'!$B$14,TBMonths,0))=TRUE,0,SUMIF(TBAll,$A36&amp;"*",OFFSET(TBCY!$C$4,1,MATCH('Set-up'!$B$14,TBMonths,0),TBRowCount,1)))</f>
        <v>0</v>
      </c>
      <c r="K36" s="35">
        <f t="shared" ca="1" si="2"/>
        <v>0</v>
      </c>
      <c r="L36" s="42">
        <f t="shared" ca="1" si="3"/>
        <v>0</v>
      </c>
      <c r="M36" s="35">
        <f ca="1">-IF(ISNA(MATCH('Set-up'!$B$16,PYMonths,0))=TRUE,0,SUMIF(PYAll,$A36&amp;"*",OFFSET(TBPY!$D$4,1,MATCH('Set-up'!$B$16,PYMonths,0),PYRowCount,1)))</f>
        <v>0</v>
      </c>
    </row>
    <row r="37" spans="1:14" ht="15" customHeight="1" x14ac:dyDescent="0.35">
      <c r="A37" s="19" t="s">
        <v>112</v>
      </c>
      <c r="B37" s="9" t="s">
        <v>36</v>
      </c>
      <c r="C37" s="35">
        <f ca="1">-IF(ISNA(MATCH('Set-up'!$B$14,ForMonths,0))=TRUE,0,SUMIF(ForAll,$A37&amp;"*",OFFSET(Forecast!$C$4,1,MATCH('Set-up'!$B$14,ForMonths,0),ForRowCount,1)))</f>
        <v>0</v>
      </c>
      <c r="D37" s="35">
        <f ca="1">-IF(ISNA(MATCH('Set-up'!$B$14,TBMonths,0))=TRUE,0,SUMIF(TBAll,$A37&amp;"*",OFFSET(TBCY!$C$4,1,MATCH('Set-up'!$B$14,TBMonths,0),TBRowCount,1)))</f>
        <v>0</v>
      </c>
      <c r="E37" s="35">
        <f t="shared" ca="1" si="0"/>
        <v>0</v>
      </c>
      <c r="F37" s="42">
        <f t="shared" ca="1" si="1"/>
        <v>0</v>
      </c>
      <c r="G37" s="35">
        <f ca="1">-IF(ISNA(MATCH('Set-up'!$B$16,PYMonths,0))=TRUE,0,SUMIF(PYAll,$A37&amp;"*",OFFSET(TBPY!$D$4,1,MATCH('Set-up'!$B$16,PYMonths,0),PYRowCount,1)))</f>
        <v>0</v>
      </c>
      <c r="I37" s="35">
        <f ca="1">-IF(ISNA(MATCH('Set-up'!$B$14,ForMonths,0))=TRUE,0,SUMIF(ForAll,$A37&amp;"*",OFFSET(Forecast!$C$4,1,MATCH('Set-up'!$B$14,ForMonths,0),ForRowCount,1)))</f>
        <v>0</v>
      </c>
      <c r="J37" s="35">
        <f ca="1">-IF(ISNA(MATCH('Set-up'!$B$14,TBMonths,0))=TRUE,0,SUMIF(TBAll,$A37&amp;"*",OFFSET(TBCY!$C$4,1,MATCH('Set-up'!$B$14,TBMonths,0),TBRowCount,1)))</f>
        <v>0</v>
      </c>
      <c r="K37" s="35">
        <f t="shared" ca="1" si="2"/>
        <v>0</v>
      </c>
      <c r="L37" s="42">
        <f t="shared" ca="1" si="3"/>
        <v>0</v>
      </c>
      <c r="M37" s="35">
        <f ca="1">-IF(ISNA(MATCH('Set-up'!$B$16,PYMonths,0))=TRUE,0,SUMIF(PYAll,$A37&amp;"*",OFFSET(TBPY!$D$4,1,MATCH('Set-up'!$B$16,PYMonths,0),PYRowCount,1)))</f>
        <v>0</v>
      </c>
    </row>
    <row r="38" spans="1:14" ht="15" customHeight="1" x14ac:dyDescent="0.35">
      <c r="C38" s="54">
        <f ca="1">SUM(C32:C37)</f>
        <v>0</v>
      </c>
      <c r="D38" s="54">
        <f ca="1">SUM(D32:D37)</f>
        <v>0</v>
      </c>
      <c r="E38" s="54">
        <f ca="1">SUM(E32:E37)</f>
        <v>0</v>
      </c>
      <c r="F38" s="58">
        <f t="shared" ca="1" si="1"/>
        <v>0</v>
      </c>
      <c r="G38" s="54">
        <f ca="1">SUM(G32:G37)</f>
        <v>0</v>
      </c>
      <c r="I38" s="54">
        <f ca="1">SUM(I32:I37)</f>
        <v>0</v>
      </c>
      <c r="J38" s="54">
        <f ca="1">SUM(J32:J37)</f>
        <v>0</v>
      </c>
      <c r="K38" s="54">
        <f ca="1">SUM(K32:K37)</f>
        <v>0</v>
      </c>
      <c r="L38" s="58">
        <f t="shared" ca="1" si="3"/>
        <v>0</v>
      </c>
      <c r="M38" s="54">
        <f ca="1">SUM(M32:M37)</f>
        <v>0</v>
      </c>
    </row>
    <row r="39" spans="1:14" ht="15" customHeight="1" x14ac:dyDescent="0.35">
      <c r="C39" s="37"/>
      <c r="D39" s="37"/>
      <c r="E39" s="37"/>
      <c r="F39" s="48"/>
      <c r="G39" s="37"/>
      <c r="I39" s="37"/>
      <c r="J39" s="37"/>
      <c r="K39" s="37"/>
      <c r="L39" s="48"/>
      <c r="M39" s="37"/>
    </row>
    <row r="40" spans="1:14" s="32" customFormat="1" ht="15" customHeight="1" x14ac:dyDescent="0.4">
      <c r="A40" s="34"/>
      <c r="B40" s="30" t="s">
        <v>37</v>
      </c>
      <c r="C40" s="55">
        <f ca="1">SUM(C29,C38)</f>
        <v>0</v>
      </c>
      <c r="D40" s="55">
        <f ca="1">SUM(D29,D38)</f>
        <v>0</v>
      </c>
      <c r="E40" s="55">
        <f ca="1">SUM(E29,E38)</f>
        <v>0</v>
      </c>
      <c r="F40" s="59">
        <f ca="1">IF(C40=0,IF(E40=0,0,-1),E40/ABS(C40))</f>
        <v>0</v>
      </c>
      <c r="G40" s="55">
        <f ca="1">SUM(G29,G38)</f>
        <v>0</v>
      </c>
      <c r="H40" s="91"/>
      <c r="I40" s="55">
        <f ca="1">SUM(I29,I38)</f>
        <v>0</v>
      </c>
      <c r="J40" s="55">
        <f ca="1">SUM(J29,J38)</f>
        <v>0</v>
      </c>
      <c r="K40" s="55">
        <f ca="1">SUM(K29,K38)</f>
        <v>0</v>
      </c>
      <c r="L40" s="59">
        <f ca="1">IF(I40=0,IF(K40=0,0,-1),K40/ABS(I40))</f>
        <v>0</v>
      </c>
      <c r="M40" s="55">
        <f ca="1">SUM(M29,M38)</f>
        <v>0</v>
      </c>
      <c r="N40" s="31"/>
    </row>
    <row r="41" spans="1:14" s="32" customFormat="1" ht="15" customHeight="1" x14ac:dyDescent="0.4">
      <c r="A41" s="34"/>
      <c r="B41" s="30"/>
      <c r="C41" s="52"/>
      <c r="D41" s="52"/>
      <c r="E41" s="52"/>
      <c r="F41" s="56"/>
      <c r="G41" s="52"/>
      <c r="H41" s="91"/>
      <c r="I41" s="52"/>
      <c r="J41" s="52"/>
      <c r="K41" s="52"/>
      <c r="L41" s="56"/>
      <c r="M41" s="52"/>
      <c r="N41" s="31"/>
    </row>
    <row r="42" spans="1:14" s="32" customFormat="1" ht="15" customHeight="1" thickBot="1" x14ac:dyDescent="0.45">
      <c r="A42" s="34"/>
      <c r="B42" s="30" t="s">
        <v>38</v>
      </c>
      <c r="C42" s="50">
        <f ca="1">SUM(C24,C40)</f>
        <v>0</v>
      </c>
      <c r="D42" s="50">
        <f ca="1">SUM(D24,D40)</f>
        <v>0</v>
      </c>
      <c r="E42" s="50">
        <f ca="1">SUM(E24,E40)</f>
        <v>0</v>
      </c>
      <c r="F42" s="51">
        <f ca="1">IF(C42=0,IF(E42=0,0,-1),E42/ABS(C42))</f>
        <v>0</v>
      </c>
      <c r="G42" s="50">
        <f ca="1">SUM(G24,G40)</f>
        <v>0</v>
      </c>
      <c r="H42" s="91"/>
      <c r="I42" s="50">
        <f ca="1">SUM(I24,I40)</f>
        <v>0</v>
      </c>
      <c r="J42" s="50">
        <f ca="1">SUM(J24,J40)</f>
        <v>0</v>
      </c>
      <c r="K42" s="50">
        <f ca="1">SUM(K24,K40)</f>
        <v>0</v>
      </c>
      <c r="L42" s="51">
        <f ca="1">IF(I42=0,IF(K42=0,0,-1),K42/ABS(I42))</f>
        <v>0</v>
      </c>
      <c r="M42" s="50">
        <f ca="1">SUM(M24,M40)</f>
        <v>0</v>
      </c>
      <c r="N42" s="31"/>
    </row>
    <row r="43" spans="1:14" ht="15" customHeight="1" thickTop="1" x14ac:dyDescent="0.35"/>
  </sheetData>
  <mergeCells count="2">
    <mergeCell ref="C3:G3"/>
    <mergeCell ref="I3:M3"/>
  </mergeCells>
  <conditionalFormatting sqref="C18:D18 G18 I18:J18 M18">
    <cfRule type="expression" dxfId="4" priority="2" stopIfTrue="1">
      <formula>ROUND(C18-C42,0)&lt;&gt;0</formula>
    </cfRule>
  </conditionalFormatting>
  <conditionalFormatting sqref="M42 I42:J42 G42 C42:D42">
    <cfRule type="expression" dxfId="3" priority="1" stopIfTrue="1">
      <formula>ROUND(C18-C42,0)&lt;&gt;0</formula>
    </cfRule>
  </conditionalFormatting>
  <pageMargins left="0.55118110236220474" right="0.55118110236220474" top="0.55118110236220474" bottom="0.55118110236220474" header="0.39370078740157483" footer="0.39370078740157483"/>
  <pageSetup paperSize="9" scale="81" orientation="landscape" r:id="rId1"/>
  <headerFooter>
    <oddFooter>&amp;C&amp;9Page &amp;P of &amp;N</oddFooter>
  </headerFooter>
  <ignoredErrors>
    <ignoredError sqref="I14:J14 C14:D14 F10 F16 F18 F24 F29 F38 F40 F42 L10 L16 L18 L24 L29 L38 L40 L42 M14 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Set-up</vt:lpstr>
      <vt:lpstr>Classes</vt:lpstr>
      <vt:lpstr>Key</vt:lpstr>
      <vt:lpstr>TBPY</vt:lpstr>
      <vt:lpstr>TBCY</vt:lpstr>
      <vt:lpstr>Forecast</vt:lpstr>
      <vt:lpstr>IS</vt:lpstr>
      <vt:lpstr>CFS</vt:lpstr>
      <vt:lpstr>BS</vt:lpstr>
      <vt:lpstr>ISMonth</vt:lpstr>
      <vt:lpstr>TBCheck</vt:lpstr>
      <vt:lpstr>ForMonths</vt:lpstr>
      <vt:lpstr>MonthNames</vt:lpstr>
      <vt:lpstr>BS!Print_Area</vt:lpstr>
      <vt:lpstr>CFS!Print_Area</vt:lpstr>
      <vt:lpstr>IS!Print_Area</vt:lpstr>
      <vt:lpstr>ISMonth!Print_Area</vt:lpstr>
      <vt:lpstr>BS!Print_Titles</vt:lpstr>
      <vt:lpstr>CFS!Print_Titles</vt:lpstr>
      <vt:lpstr>Forecast!Print_Titles</vt:lpstr>
      <vt:lpstr>IS!Print_Titles</vt:lpstr>
      <vt:lpstr>ISMonth!Print_Titles</vt:lpstr>
      <vt:lpstr>Key!Print_Titles</vt:lpstr>
      <vt:lpstr>TBCheck!Print_Titles</vt:lpstr>
      <vt:lpstr>TBCY!Print_Titles</vt:lpstr>
      <vt:lpstr>TBPY!Print_Titles</vt:lpstr>
      <vt:lpstr>PYMonths</vt:lpstr>
      <vt:lpstr>TBMonths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</cp:keywords>
  <dc:description>BDS Tools to help with managing your business</dc:description>
  <cp:lastModifiedBy>Peter</cp:lastModifiedBy>
  <cp:lastPrinted>2012-07-17T13:50:53Z</cp:lastPrinted>
  <dcterms:created xsi:type="dcterms:W3CDTF">2009-09-28T11:29:56Z</dcterms:created>
  <dcterms:modified xsi:type="dcterms:W3CDTF">2020-04-27T04:01:56Z</dcterms:modified>
  <cp:category>BDS Tools; Version 1.0</cp:category>
  <cp:contentStatus>Published</cp:contentStatus>
  <cp:version>1</cp:version>
</cp:coreProperties>
</file>