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449CC409-86A2-451B-981C-358450F84E1D}" xr6:coauthVersionLast="45" xr6:coauthVersionMax="45" xr10:uidLastSave="{00000000-0000-0000-0000-000000000000}"/>
  <bookViews>
    <workbookView xWindow="40920" yWindow="-120" windowWidth="29040" windowHeight="15840" activeTab="3" xr2:uid="{00000000-000D-0000-FFFF-FFFF00000000}"/>
  </bookViews>
  <sheets>
    <sheet name="Set-up" sheetId="6" r:id="rId1"/>
    <sheet name="Classes" sheetId="9" r:id="rId2"/>
    <sheet name="TB" sheetId="7" r:id="rId3"/>
    <sheet name="IS" sheetId="13" r:id="rId4"/>
    <sheet name="CFS" sheetId="14" r:id="rId5"/>
    <sheet name="BS" sheetId="15" r:id="rId6"/>
    <sheet name="TBCheck" sheetId="19" r:id="rId7"/>
  </sheets>
  <definedNames>
    <definedName name="_xlnm._FilterDatabase" localSheetId="5" hidden="1">BS!$A$4:$B$4</definedName>
    <definedName name="_xlnm._FilterDatabase" localSheetId="4" hidden="1">CFS!$A$4:$B$4</definedName>
    <definedName name="_xlnm._FilterDatabase" localSheetId="3" hidden="1">IS!$A$4:$B$4</definedName>
    <definedName name="_xlnm._FilterDatabase" localSheetId="2" hidden="1">TB!$A$4:$G$67</definedName>
    <definedName name="BSCode">OFFSET(BS!$A$4,1,0,ROW(BS!$A$43)-ROW(BS!$A$4),1)</definedName>
    <definedName name="CFSCode">OFFSET(CFS!$A$4,1,0,ROW(CFS!$A$44)-ROW(CFS!$A$4),1)</definedName>
    <definedName name="CheckRowCount">COUNTA(OFFSET(TBCheck!$C$4,1,0,Records,1))</definedName>
    <definedName name="ISCode">OFFSET(IS!$A$4,1,0,ROW(IS!$A$40)-ROW(IS!$A$4),1)</definedName>
    <definedName name="MonthNames">'Set-up'!$B$13:$B$24</definedName>
    <definedName name="_xlnm.Print_Area" localSheetId="5">BS!$B$1:$J$43</definedName>
    <definedName name="_xlnm.Print_Area" localSheetId="4">CFS!$B$1:$J$44</definedName>
    <definedName name="_xlnm.Print_Area" localSheetId="3">IS!$B$1:$J$40</definedName>
    <definedName name="_xlnm.Print_Titles" localSheetId="5">BS!$1:$4</definedName>
    <definedName name="_xlnm.Print_Titles" localSheetId="4">CFS!$1:$4</definedName>
    <definedName name="_xlnm.Print_Titles" localSheetId="3">IS!$1:$4</definedName>
    <definedName name="_xlnm.Print_Titles" localSheetId="2">TB!$1:$4</definedName>
    <definedName name="_xlnm.Print_Titles" localSheetId="6">TBCheck!$1:$4</definedName>
    <definedName name="Records">1000</definedName>
    <definedName name="TBAll">OFFSET(TB!$A$4,1,0,TBRowCount,COLUMN(TB!C$4)+TBColCount)</definedName>
    <definedName name="TBClass">OFFSET(TB!$A$4,1,0,TBRowCount,1)</definedName>
    <definedName name="TBColCount">COUNTA(OFFSET(TB!$C$4,0,1,1,100))</definedName>
    <definedName name="TBMonths">OFFSET(TB!$C$4,0,1,1,TBColCount)</definedName>
    <definedName name="TBRowCount">COUNTA(OFFSET(TB!$B$4,1,0,Records,1))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9" l="1"/>
  <c r="D63" i="19"/>
  <c r="B13" i="13"/>
  <c r="H3" i="7"/>
  <c r="C4" i="14"/>
  <c r="C14" i="14" s="1"/>
  <c r="C4" i="15"/>
  <c r="D4" i="15" s="1"/>
  <c r="H4" i="15" s="1"/>
  <c r="H38" i="15" s="1"/>
  <c r="D8" i="6"/>
  <c r="D20" i="19"/>
  <c r="E20" i="19"/>
  <c r="D22" i="19"/>
  <c r="E22" i="19"/>
  <c r="E67" i="19"/>
  <c r="E66" i="19"/>
  <c r="E65" i="19"/>
  <c r="E64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1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D4" i="14" l="1"/>
  <c r="D20" i="14" s="1"/>
  <c r="C15" i="14"/>
  <c r="C21" i="14"/>
  <c r="C20" i="14"/>
  <c r="D43" i="14"/>
  <c r="C43" i="14"/>
  <c r="C37" i="14"/>
  <c r="C38" i="14"/>
  <c r="D38" i="14"/>
  <c r="C36" i="14"/>
  <c r="D30" i="14"/>
  <c r="C30" i="14"/>
  <c r="C18" i="14"/>
  <c r="C19" i="14"/>
  <c r="C17" i="14"/>
  <c r="C12" i="14"/>
  <c r="C28" i="14" s="1"/>
  <c r="C13" i="14"/>
  <c r="C29" i="14" s="1"/>
  <c r="C9" i="14"/>
  <c r="C10" i="14"/>
  <c r="D13" i="14"/>
  <c r="D29" i="14" s="1"/>
  <c r="D9" i="14"/>
  <c r="H8" i="15"/>
  <c r="H13" i="15"/>
  <c r="H35" i="15"/>
  <c r="C8" i="15"/>
  <c r="H9" i="15"/>
  <c r="H14" i="15"/>
  <c r="H27" i="15"/>
  <c r="H32" i="15"/>
  <c r="H36" i="15"/>
  <c r="C13" i="15"/>
  <c r="H15" i="15"/>
  <c r="H23" i="15"/>
  <c r="H28" i="15"/>
  <c r="H33" i="15"/>
  <c r="H37" i="15"/>
  <c r="H7" i="15"/>
  <c r="H12" i="15"/>
  <c r="H16" i="15"/>
  <c r="H29" i="15"/>
  <c r="H34" i="15"/>
  <c r="C35" i="15"/>
  <c r="C9" i="15"/>
  <c r="C14" i="15"/>
  <c r="C27" i="15"/>
  <c r="C32" i="15"/>
  <c r="C36" i="15"/>
  <c r="C15" i="15"/>
  <c r="C23" i="15"/>
  <c r="C28" i="15"/>
  <c r="C33" i="15"/>
  <c r="C37" i="15"/>
  <c r="C7" i="15"/>
  <c r="C12" i="15"/>
  <c r="C16" i="15"/>
  <c r="C29" i="15"/>
  <c r="C34" i="15"/>
  <c r="C38" i="15"/>
  <c r="D34" i="15"/>
  <c r="D14" i="15"/>
  <c r="D32" i="15"/>
  <c r="D35" i="15"/>
  <c r="D36" i="15"/>
  <c r="D37" i="15"/>
  <c r="I37" i="15" s="1"/>
  <c r="D33" i="15"/>
  <c r="D38" i="15"/>
  <c r="I38" i="15" s="1"/>
  <c r="J38" i="15" s="1"/>
  <c r="D28" i="15"/>
  <c r="D27" i="15"/>
  <c r="I27" i="15" s="1"/>
  <c r="D29" i="15"/>
  <c r="D23" i="15"/>
  <c r="D15" i="15"/>
  <c r="D12" i="15"/>
  <c r="D13" i="15"/>
  <c r="D16" i="15"/>
  <c r="D8" i="15"/>
  <c r="D9" i="15"/>
  <c r="D7" i="15"/>
  <c r="I7" i="15" s="1"/>
  <c r="E3" i="19"/>
  <c r="D18" i="14" l="1"/>
  <c r="E18" i="14" s="1"/>
  <c r="F18" i="14" s="1"/>
  <c r="D36" i="14"/>
  <c r="D10" i="14"/>
  <c r="D17" i="14"/>
  <c r="D12" i="14"/>
  <c r="D28" i="14" s="1"/>
  <c r="D19" i="14"/>
  <c r="D37" i="14"/>
  <c r="D15" i="14"/>
  <c r="D14" i="14"/>
  <c r="D21" i="14"/>
  <c r="H4" i="14"/>
  <c r="H14" i="14" s="1"/>
  <c r="I32" i="15"/>
  <c r="E20" i="14"/>
  <c r="F20" i="14" s="1"/>
  <c r="I14" i="15"/>
  <c r="J14" i="15" s="1"/>
  <c r="E10" i="14"/>
  <c r="F10" i="14" s="1"/>
  <c r="E9" i="14"/>
  <c r="F9" i="14" s="1"/>
  <c r="I12" i="15"/>
  <c r="J12" i="15" s="1"/>
  <c r="I9" i="15"/>
  <c r="J9" i="15" s="1"/>
  <c r="I8" i="15"/>
  <c r="J8" i="15" s="1"/>
  <c r="I28" i="15"/>
  <c r="J28" i="15" s="1"/>
  <c r="I36" i="15"/>
  <c r="J36" i="15" s="1"/>
  <c r="I16" i="15"/>
  <c r="J16" i="15" s="1"/>
  <c r="I13" i="15"/>
  <c r="J13" i="15" s="1"/>
  <c r="I33" i="15"/>
  <c r="J33" i="15" s="1"/>
  <c r="I29" i="15"/>
  <c r="J29" i="15" s="1"/>
  <c r="I34" i="15"/>
  <c r="J34" i="15" s="1"/>
  <c r="I23" i="15"/>
  <c r="J23" i="15" s="1"/>
  <c r="I35" i="15"/>
  <c r="J35" i="15" s="1"/>
  <c r="I15" i="15"/>
  <c r="J15" i="15" s="1"/>
  <c r="J37" i="15"/>
  <c r="J27" i="15"/>
  <c r="E34" i="15"/>
  <c r="F34" i="15" s="1"/>
  <c r="H10" i="15"/>
  <c r="E23" i="15"/>
  <c r="F23" i="15" s="1"/>
  <c r="E27" i="15"/>
  <c r="F27" i="15" s="1"/>
  <c r="E37" i="15"/>
  <c r="F37" i="15" s="1"/>
  <c r="E33" i="15"/>
  <c r="F33" i="15" s="1"/>
  <c r="E36" i="15"/>
  <c r="F36" i="15" s="1"/>
  <c r="E38" i="15"/>
  <c r="F38" i="15" s="1"/>
  <c r="E32" i="15"/>
  <c r="F32" i="15" s="1"/>
  <c r="E35" i="15"/>
  <c r="F35" i="15" s="1"/>
  <c r="E29" i="15"/>
  <c r="F29" i="15" s="1"/>
  <c r="E28" i="15"/>
  <c r="F28" i="15" s="1"/>
  <c r="E15" i="15"/>
  <c r="F15" i="15" s="1"/>
  <c r="E14" i="15"/>
  <c r="F14" i="15" s="1"/>
  <c r="E16" i="15"/>
  <c r="F16" i="15" s="1"/>
  <c r="E13" i="15"/>
  <c r="F13" i="15" s="1"/>
  <c r="C17" i="15"/>
  <c r="E12" i="15"/>
  <c r="F12" i="15" s="1"/>
  <c r="E8" i="15"/>
  <c r="F8" i="15" s="1"/>
  <c r="E9" i="15"/>
  <c r="F9" i="15" s="1"/>
  <c r="C10" i="15"/>
  <c r="E7" i="15"/>
  <c r="F7" i="15" s="1"/>
  <c r="H39" i="15"/>
  <c r="H30" i="15"/>
  <c r="H17" i="15"/>
  <c r="C30" i="15"/>
  <c r="C39" i="15"/>
  <c r="D67" i="19"/>
  <c r="D66" i="19"/>
  <c r="D65" i="19"/>
  <c r="D64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1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H10" i="14" l="1"/>
  <c r="I10" i="14" s="1"/>
  <c r="H43" i="14"/>
  <c r="H30" i="14"/>
  <c r="H13" i="14"/>
  <c r="H29" i="14" s="1"/>
  <c r="H15" i="14"/>
  <c r="H21" i="14"/>
  <c r="H20" i="14"/>
  <c r="I20" i="14" s="1"/>
  <c r="J20" i="14" s="1"/>
  <c r="H38" i="14"/>
  <c r="H17" i="14"/>
  <c r="H18" i="14"/>
  <c r="I18" i="14" s="1"/>
  <c r="J18" i="14" s="1"/>
  <c r="H19" i="14"/>
  <c r="H12" i="14"/>
  <c r="H28" i="14" s="1"/>
  <c r="H9" i="14"/>
  <c r="I9" i="14" s="1"/>
  <c r="H36" i="14"/>
  <c r="H37" i="14"/>
  <c r="I14" i="14"/>
  <c r="E14" i="14"/>
  <c r="F14" i="14" s="1"/>
  <c r="C19" i="15"/>
  <c r="I10" i="15"/>
  <c r="J10" i="15" s="1"/>
  <c r="I39" i="15"/>
  <c r="J39" i="15" s="1"/>
  <c r="J32" i="15"/>
  <c r="I30" i="15"/>
  <c r="I17" i="15"/>
  <c r="H19" i="15"/>
  <c r="J7" i="15"/>
  <c r="H41" i="15"/>
  <c r="C41" i="15"/>
  <c r="C4" i="13"/>
  <c r="J14" i="14" l="1"/>
  <c r="I19" i="15"/>
  <c r="J19" i="15" s="1"/>
  <c r="C39" i="13"/>
  <c r="C39" i="14" s="1"/>
  <c r="C13" i="13"/>
  <c r="I41" i="15"/>
  <c r="J41" i="15" s="1"/>
  <c r="J30" i="15"/>
  <c r="J17" i="15"/>
  <c r="C36" i="13"/>
  <c r="C32" i="13"/>
  <c r="C28" i="13"/>
  <c r="C24" i="13"/>
  <c r="C20" i="13"/>
  <c r="C16" i="13"/>
  <c r="C11" i="13"/>
  <c r="C31" i="13"/>
  <c r="C27" i="13"/>
  <c r="C23" i="13"/>
  <c r="C19" i="13"/>
  <c r="C15" i="13"/>
  <c r="C6" i="13"/>
  <c r="C29" i="13"/>
  <c r="C25" i="13"/>
  <c r="C21" i="13"/>
  <c r="C17" i="13"/>
  <c r="C12" i="13"/>
  <c r="C38" i="13"/>
  <c r="C34" i="13"/>
  <c r="C30" i="13"/>
  <c r="C26" i="13"/>
  <c r="C22" i="13"/>
  <c r="C18" i="13"/>
  <c r="C14" i="13"/>
  <c r="C9" i="13"/>
  <c r="C5" i="13"/>
  <c r="D4" i="13"/>
  <c r="D13" i="13" s="1"/>
  <c r="D5" i="19"/>
  <c r="E13" i="13" l="1"/>
  <c r="F13" i="13" s="1"/>
  <c r="H4" i="13"/>
  <c r="D39" i="13"/>
  <c r="C10" i="13"/>
  <c r="C7" i="13"/>
  <c r="C8" i="13" s="1"/>
  <c r="D38" i="13"/>
  <c r="D34" i="13"/>
  <c r="D36" i="13"/>
  <c r="D32" i="13"/>
  <c r="D28" i="13"/>
  <c r="D24" i="13"/>
  <c r="D20" i="13"/>
  <c r="D16" i="13"/>
  <c r="D11" i="13"/>
  <c r="D29" i="13"/>
  <c r="D17" i="13"/>
  <c r="D31" i="13"/>
  <c r="D27" i="13"/>
  <c r="D23" i="13"/>
  <c r="D19" i="13"/>
  <c r="D15" i="13"/>
  <c r="D30" i="13"/>
  <c r="D26" i="13"/>
  <c r="D22" i="13"/>
  <c r="D18" i="13"/>
  <c r="D14" i="13"/>
  <c r="D25" i="13"/>
  <c r="D21" i="13"/>
  <c r="D12" i="13"/>
  <c r="D6" i="13"/>
  <c r="D9" i="13"/>
  <c r="D5" i="13"/>
  <c r="B10" i="6"/>
  <c r="B2" i="15" s="1"/>
  <c r="B24" i="6"/>
  <c r="B23" i="6"/>
  <c r="B22" i="6"/>
  <c r="B21" i="6"/>
  <c r="B20" i="6"/>
  <c r="B19" i="6"/>
  <c r="B18" i="6"/>
  <c r="B17" i="6"/>
  <c r="B16" i="6"/>
  <c r="B15" i="6"/>
  <c r="B14" i="6"/>
  <c r="B13" i="6"/>
  <c r="H39" i="13" l="1"/>
  <c r="H39" i="14" s="1"/>
  <c r="H13" i="13"/>
  <c r="E39" i="13"/>
  <c r="F39" i="13" s="1"/>
  <c r="D39" i="14"/>
  <c r="H14" i="13"/>
  <c r="I14" i="13" s="1"/>
  <c r="J14" i="13" s="1"/>
  <c r="H24" i="13"/>
  <c r="I24" i="13" s="1"/>
  <c r="J24" i="13" s="1"/>
  <c r="H25" i="13"/>
  <c r="I25" i="13" s="1"/>
  <c r="J25" i="13" s="1"/>
  <c r="H34" i="13"/>
  <c r="I34" i="13" s="1"/>
  <c r="J34" i="13" s="1"/>
  <c r="H38" i="13"/>
  <c r="H12" i="13"/>
  <c r="I12" i="13" s="1"/>
  <c r="J12" i="13" s="1"/>
  <c r="H30" i="13"/>
  <c r="I30" i="13" s="1"/>
  <c r="J30" i="13" s="1"/>
  <c r="H5" i="13"/>
  <c r="H32" i="13"/>
  <c r="I32" i="13" s="1"/>
  <c r="J32" i="13" s="1"/>
  <c r="H27" i="13"/>
  <c r="I27" i="13" s="1"/>
  <c r="J27" i="13" s="1"/>
  <c r="H23" i="13"/>
  <c r="I23" i="13" s="1"/>
  <c r="J23" i="13" s="1"/>
  <c r="H16" i="13"/>
  <c r="I16" i="13" s="1"/>
  <c r="J16" i="13" s="1"/>
  <c r="H20" i="13"/>
  <c r="I20" i="13" s="1"/>
  <c r="J20" i="13" s="1"/>
  <c r="H11" i="13"/>
  <c r="I11" i="13" s="1"/>
  <c r="J11" i="13" s="1"/>
  <c r="H17" i="13"/>
  <c r="I17" i="13" s="1"/>
  <c r="J17" i="13" s="1"/>
  <c r="H18" i="13"/>
  <c r="I18" i="13" s="1"/>
  <c r="J18" i="13" s="1"/>
  <c r="H15" i="13"/>
  <c r="I15" i="13" s="1"/>
  <c r="J15" i="13" s="1"/>
  <c r="H26" i="13"/>
  <c r="I26" i="13" s="1"/>
  <c r="J26" i="13" s="1"/>
  <c r="H9" i="13"/>
  <c r="H19" i="13"/>
  <c r="I19" i="13" s="1"/>
  <c r="J19" i="13" s="1"/>
  <c r="H28" i="13"/>
  <c r="I28" i="13" s="1"/>
  <c r="J28" i="13" s="1"/>
  <c r="H22" i="13"/>
  <c r="I22" i="13" s="1"/>
  <c r="J22" i="13" s="1"/>
  <c r="H6" i="13"/>
  <c r="H29" i="13"/>
  <c r="I29" i="13" s="1"/>
  <c r="J29" i="13" s="1"/>
  <c r="H31" i="13"/>
  <c r="I31" i="13" s="1"/>
  <c r="J31" i="13" s="1"/>
  <c r="H21" i="13"/>
  <c r="I21" i="13" s="1"/>
  <c r="J21" i="13" s="1"/>
  <c r="H36" i="13"/>
  <c r="I36" i="13" s="1"/>
  <c r="J36" i="13" s="1"/>
  <c r="E30" i="13"/>
  <c r="F30" i="13" s="1"/>
  <c r="E11" i="13"/>
  <c r="F11" i="13" s="1"/>
  <c r="E38" i="13"/>
  <c r="F38" i="13" s="1"/>
  <c r="E12" i="13"/>
  <c r="F12" i="13" s="1"/>
  <c r="E15" i="13"/>
  <c r="F15" i="13" s="1"/>
  <c r="E16" i="13"/>
  <c r="F16" i="13" s="1"/>
  <c r="E21" i="13"/>
  <c r="F21" i="13" s="1"/>
  <c r="E19" i="13"/>
  <c r="F19" i="13" s="1"/>
  <c r="E20" i="13"/>
  <c r="F20" i="13" s="1"/>
  <c r="E36" i="13"/>
  <c r="F36" i="13" s="1"/>
  <c r="E14" i="13"/>
  <c r="F14" i="13" s="1"/>
  <c r="E27" i="13"/>
  <c r="F27" i="13" s="1"/>
  <c r="E28" i="13"/>
  <c r="F28" i="13" s="1"/>
  <c r="E18" i="13"/>
  <c r="F18" i="13" s="1"/>
  <c r="E31" i="13"/>
  <c r="F31" i="13" s="1"/>
  <c r="E32" i="13"/>
  <c r="F32" i="13" s="1"/>
  <c r="E22" i="13"/>
  <c r="F22" i="13" s="1"/>
  <c r="E17" i="13"/>
  <c r="F17" i="13" s="1"/>
  <c r="E9" i="13"/>
  <c r="F9" i="13" s="1"/>
  <c r="E25" i="13"/>
  <c r="F25" i="13" s="1"/>
  <c r="E26" i="13"/>
  <c r="F26" i="13" s="1"/>
  <c r="E23" i="13"/>
  <c r="F23" i="13" s="1"/>
  <c r="E29" i="13"/>
  <c r="F29" i="13" s="1"/>
  <c r="E24" i="13"/>
  <c r="F24" i="13" s="1"/>
  <c r="E34" i="13"/>
  <c r="F34" i="13" s="1"/>
  <c r="E6" i="13"/>
  <c r="F6" i="13" s="1"/>
  <c r="E5" i="13"/>
  <c r="F5" i="13" s="1"/>
  <c r="C33" i="13"/>
  <c r="B2" i="13"/>
  <c r="B2" i="14"/>
  <c r="C3" i="19"/>
  <c r="D3" i="19" s="1"/>
  <c r="G3" i="7"/>
  <c r="F3" i="7"/>
  <c r="E3" i="7"/>
  <c r="D3" i="7"/>
  <c r="B1" i="15"/>
  <c r="B1" i="14"/>
  <c r="B1" i="13"/>
  <c r="A1" i="7"/>
  <c r="I38" i="13" l="1"/>
  <c r="J38" i="13" s="1"/>
  <c r="I9" i="13"/>
  <c r="J9" i="13" s="1"/>
  <c r="I5" i="13"/>
  <c r="J5" i="13" s="1"/>
  <c r="I39" i="13"/>
  <c r="J39" i="13" s="1"/>
  <c r="I13" i="13"/>
  <c r="J13" i="13" s="1"/>
  <c r="H7" i="13"/>
  <c r="H8" i="13" s="1"/>
  <c r="I8" i="13" s="1"/>
  <c r="I6" i="13"/>
  <c r="J6" i="13" s="1"/>
  <c r="H10" i="13"/>
  <c r="C35" i="13"/>
  <c r="B16" i="13"/>
  <c r="B32" i="13"/>
  <c r="B24" i="13"/>
  <c r="B31" i="13"/>
  <c r="B27" i="13"/>
  <c r="B23" i="13"/>
  <c r="B19" i="13"/>
  <c r="B15" i="13"/>
  <c r="B11" i="13"/>
  <c r="B29" i="13"/>
  <c r="B25" i="13"/>
  <c r="B21" i="13"/>
  <c r="B17" i="13"/>
  <c r="B12" i="13"/>
  <c r="B28" i="13"/>
  <c r="B20" i="13"/>
  <c r="B30" i="13"/>
  <c r="B18" i="13"/>
  <c r="B22" i="13"/>
  <c r="B26" i="13"/>
  <c r="B14" i="13"/>
  <c r="H33" i="13" l="1"/>
  <c r="C37" i="13"/>
  <c r="H35" i="13" l="1"/>
  <c r="C40" i="13"/>
  <c r="C24" i="15" s="1"/>
  <c r="E12" i="14"/>
  <c r="F12" i="14" s="1"/>
  <c r="C8" i="14"/>
  <c r="C24" i="14" s="1"/>
  <c r="C31" i="14"/>
  <c r="D7" i="14"/>
  <c r="D23" i="14" s="1"/>
  <c r="E13" i="14"/>
  <c r="F13" i="14" s="1"/>
  <c r="D8" i="14"/>
  <c r="D24" i="14" s="1"/>
  <c r="H37" i="13" l="1"/>
  <c r="H40" i="13" s="1"/>
  <c r="H24" i="15" s="1"/>
  <c r="E43" i="14"/>
  <c r="F43" i="14" s="1"/>
  <c r="E36" i="14"/>
  <c r="F36" i="14" s="1"/>
  <c r="E19" i="14"/>
  <c r="F19" i="14" s="1"/>
  <c r="E8" i="14"/>
  <c r="F8" i="14" s="1"/>
  <c r="E15" i="14"/>
  <c r="F15" i="14" s="1"/>
  <c r="C25" i="15"/>
  <c r="C43" i="15" s="1"/>
  <c r="D10" i="15"/>
  <c r="D17" i="15"/>
  <c r="D10" i="13"/>
  <c r="C46" i="14"/>
  <c r="D7" i="13"/>
  <c r="D32" i="14"/>
  <c r="C32" i="14"/>
  <c r="C7" i="14"/>
  <c r="C23" i="14" s="1"/>
  <c r="D31" i="14"/>
  <c r="D39" i="15"/>
  <c r="D46" i="14"/>
  <c r="D30" i="15"/>
  <c r="E7" i="14" l="1"/>
  <c r="F7" i="14" s="1"/>
  <c r="E23" i="14"/>
  <c r="F23" i="14" s="1"/>
  <c r="E37" i="14"/>
  <c r="F37" i="14" s="1"/>
  <c r="E38" i="14"/>
  <c r="F38" i="14" s="1"/>
  <c r="C40" i="14"/>
  <c r="E39" i="14"/>
  <c r="E32" i="14"/>
  <c r="F32" i="14" s="1"/>
  <c r="E29" i="14"/>
  <c r="F29" i="14" s="1"/>
  <c r="E31" i="14"/>
  <c r="F31" i="14" s="1"/>
  <c r="E24" i="14"/>
  <c r="F24" i="14" s="1"/>
  <c r="E28" i="14"/>
  <c r="F28" i="14" s="1"/>
  <c r="E17" i="14"/>
  <c r="F17" i="14" s="1"/>
  <c r="E30" i="14"/>
  <c r="F30" i="14" s="1"/>
  <c r="E21" i="14"/>
  <c r="F21" i="14" s="1"/>
  <c r="H25" i="15"/>
  <c r="D8" i="13"/>
  <c r="E8" i="13" s="1"/>
  <c r="E10" i="13"/>
  <c r="F10" i="13" s="1"/>
  <c r="E10" i="15"/>
  <c r="F10" i="15" s="1"/>
  <c r="D41" i="15"/>
  <c r="D19" i="15"/>
  <c r="C33" i="14"/>
  <c r="I15" i="14"/>
  <c r="D33" i="13"/>
  <c r="I36" i="14"/>
  <c r="I12" i="14"/>
  <c r="I17" i="14"/>
  <c r="I38" i="14"/>
  <c r="I43" i="14"/>
  <c r="I30" i="14"/>
  <c r="I19" i="14"/>
  <c r="I21" i="14"/>
  <c r="I37" i="14"/>
  <c r="D33" i="14"/>
  <c r="I13" i="14"/>
  <c r="E30" i="15"/>
  <c r="F30" i="15" s="1"/>
  <c r="E39" i="15"/>
  <c r="F39" i="15" s="1"/>
  <c r="D40" i="14"/>
  <c r="E7" i="13"/>
  <c r="F7" i="13" s="1"/>
  <c r="E17" i="15"/>
  <c r="F17" i="15" s="1"/>
  <c r="E40" i="14" l="1"/>
  <c r="F40" i="14" s="1"/>
  <c r="F39" i="14"/>
  <c r="J37" i="14"/>
  <c r="J43" i="14"/>
  <c r="J12" i="14"/>
  <c r="J15" i="14"/>
  <c r="J21" i="14"/>
  <c r="J38" i="14"/>
  <c r="J13" i="14"/>
  <c r="J19" i="14"/>
  <c r="H31" i="14"/>
  <c r="I31" i="14" s="1"/>
  <c r="J9" i="14"/>
  <c r="J36" i="14"/>
  <c r="H32" i="14"/>
  <c r="I32" i="14" s="1"/>
  <c r="J10" i="14"/>
  <c r="J30" i="14"/>
  <c r="J17" i="14"/>
  <c r="H43" i="15"/>
  <c r="E33" i="13"/>
  <c r="F33" i="13" s="1"/>
  <c r="I33" i="13"/>
  <c r="J33" i="13" s="1"/>
  <c r="I7" i="13"/>
  <c r="J7" i="13" s="1"/>
  <c r="I10" i="13"/>
  <c r="J10" i="13" s="1"/>
  <c r="E19" i="15"/>
  <c r="F19" i="15" s="1"/>
  <c r="I39" i="14"/>
  <c r="I40" i="14" s="1"/>
  <c r="I29" i="14"/>
  <c r="I28" i="14"/>
  <c r="D35" i="13"/>
  <c r="H46" i="14"/>
  <c r="E41" i="15"/>
  <c r="F41" i="15" s="1"/>
  <c r="E33" i="14"/>
  <c r="F33" i="14" s="1"/>
  <c r="H7" i="14"/>
  <c r="H23" i="14" s="1"/>
  <c r="H8" i="14"/>
  <c r="H24" i="14" s="1"/>
  <c r="I8" i="14" l="1"/>
  <c r="J8" i="14" s="1"/>
  <c r="I24" i="14"/>
  <c r="I7" i="14"/>
  <c r="J7" i="14" s="1"/>
  <c r="I23" i="14"/>
  <c r="J29" i="14"/>
  <c r="J32" i="14"/>
  <c r="J28" i="14"/>
  <c r="I33" i="14"/>
  <c r="J31" i="14"/>
  <c r="H40" i="14"/>
  <c r="J40" i="14" s="1"/>
  <c r="J39" i="14"/>
  <c r="E35" i="13"/>
  <c r="F35" i="13" s="1"/>
  <c r="I35" i="13"/>
  <c r="J35" i="13" s="1"/>
  <c r="D37" i="13"/>
  <c r="H6" i="14"/>
  <c r="H33" i="14"/>
  <c r="C6" i="14"/>
  <c r="J33" i="14" l="1"/>
  <c r="J24" i="14"/>
  <c r="J23" i="14"/>
  <c r="H22" i="14"/>
  <c r="E37" i="13"/>
  <c r="F37" i="13" s="1"/>
  <c r="I37" i="13"/>
  <c r="D6" i="14"/>
  <c r="I6" i="14" s="1"/>
  <c r="I22" i="14" s="1"/>
  <c r="I25" i="14" s="1"/>
  <c r="D40" i="13"/>
  <c r="D24" i="15" s="1"/>
  <c r="I24" i="15" s="1"/>
  <c r="C22" i="14"/>
  <c r="J6" i="14" l="1"/>
  <c r="H25" i="14"/>
  <c r="J22" i="14"/>
  <c r="D22" i="14"/>
  <c r="E6" i="14"/>
  <c r="F6" i="14" s="1"/>
  <c r="I25" i="15"/>
  <c r="J24" i="15"/>
  <c r="D25" i="15"/>
  <c r="E24" i="15"/>
  <c r="F24" i="15" s="1"/>
  <c r="I40" i="13"/>
  <c r="J40" i="13" s="1"/>
  <c r="J37" i="13"/>
  <c r="E40" i="13"/>
  <c r="C25" i="14"/>
  <c r="J25" i="14" l="1"/>
  <c r="H42" i="14"/>
  <c r="D25" i="14"/>
  <c r="E22" i="14"/>
  <c r="E25" i="14" s="1"/>
  <c r="E25" i="15"/>
  <c r="E43" i="15" s="1"/>
  <c r="I43" i="15"/>
  <c r="J43" i="15" s="1"/>
  <c r="J25" i="15"/>
  <c r="D43" i="15"/>
  <c r="F40" i="13"/>
  <c r="C42" i="14"/>
  <c r="F22" i="14" l="1"/>
  <c r="H44" i="14"/>
  <c r="D42" i="14"/>
  <c r="I42" i="14" s="1"/>
  <c r="I44" i="14" s="1"/>
  <c r="F25" i="14"/>
  <c r="F25" i="15"/>
  <c r="F43" i="15"/>
  <c r="C44" i="14"/>
  <c r="J44" i="14" l="1"/>
  <c r="J42" i="14"/>
  <c r="D44" i="14"/>
  <c r="E42" i="14"/>
  <c r="E44" i="14" s="1"/>
  <c r="F44" i="14" l="1"/>
  <c r="F42" i="14"/>
</calcChain>
</file>

<file path=xl/sharedStrings.xml><?xml version="1.0" encoding="utf-8"?>
<sst xmlns="http://schemas.openxmlformats.org/spreadsheetml/2006/main" count="568" uniqueCount="292">
  <si>
    <t>Set-up</t>
  </si>
  <si>
    <t>Business Name</t>
  </si>
  <si>
    <t>Reporting Year</t>
  </si>
  <si>
    <t>Year End Period</t>
  </si>
  <si>
    <t>Revenue</t>
  </si>
  <si>
    <t>Other Income</t>
  </si>
  <si>
    <t>Distribution costs</t>
  </si>
  <si>
    <t>Administrative expenses</t>
  </si>
  <si>
    <t>Other expenses</t>
  </si>
  <si>
    <t>Finance costs</t>
  </si>
  <si>
    <t>Income tax expense</t>
  </si>
  <si>
    <t>Retained earnings at start of year</t>
  </si>
  <si>
    <t>Dividends</t>
  </si>
  <si>
    <t>Class</t>
  </si>
  <si>
    <t>Account Description</t>
  </si>
  <si>
    <t>ASSETS</t>
  </si>
  <si>
    <t>Investments</t>
  </si>
  <si>
    <t>Property, plant &amp; equipment</t>
  </si>
  <si>
    <t>Intangible assets</t>
  </si>
  <si>
    <t>Inventories</t>
  </si>
  <si>
    <t>Trade and other receivables</t>
  </si>
  <si>
    <t>EQUITY &amp; LIABILITIES</t>
  </si>
  <si>
    <t>Equity</t>
  </si>
  <si>
    <t>Share Capital</t>
  </si>
  <si>
    <t>Non-current liabilities</t>
  </si>
  <si>
    <t>Share capital</t>
  </si>
  <si>
    <t>Retained earnings</t>
  </si>
  <si>
    <t>Deferred tax liability</t>
  </si>
  <si>
    <t>Non-current assets</t>
  </si>
  <si>
    <t>Current assets</t>
  </si>
  <si>
    <t>Total assets</t>
  </si>
  <si>
    <t>Current liabilities</t>
  </si>
  <si>
    <t>Bank overdraft</t>
  </si>
  <si>
    <t>Trade payables</t>
  </si>
  <si>
    <t>Interest payable</t>
  </si>
  <si>
    <t>Current tax liability</t>
  </si>
  <si>
    <t>Total liabilities</t>
  </si>
  <si>
    <t>Total equity &amp; liabilities</t>
  </si>
  <si>
    <t>Cash flows from operating activities</t>
  </si>
  <si>
    <t>Net cash from operating activities</t>
  </si>
  <si>
    <t>Cash flows from investing activities</t>
  </si>
  <si>
    <t>Cash generated from operations</t>
  </si>
  <si>
    <t>Interest paid</t>
  </si>
  <si>
    <t>Income tax paid</t>
  </si>
  <si>
    <t>Purchases of property, plant &amp; equipment</t>
  </si>
  <si>
    <t>Purchases of investments</t>
  </si>
  <si>
    <t>Purchases of intangible assets</t>
  </si>
  <si>
    <t>Interest received</t>
  </si>
  <si>
    <t>Net cash used in investing activities</t>
  </si>
  <si>
    <t>Cash flows from financing activities</t>
  </si>
  <si>
    <t>Proceeds from issuance of shares</t>
  </si>
  <si>
    <t>Dividends paid</t>
  </si>
  <si>
    <t>Net cash used in financing activities</t>
  </si>
  <si>
    <t>Sale of goods</t>
  </si>
  <si>
    <t>Dividends received</t>
  </si>
  <si>
    <t>Trade debtors</t>
  </si>
  <si>
    <t>Cash on hand</t>
  </si>
  <si>
    <t>IS-100</t>
  </si>
  <si>
    <t>IS-200</t>
  </si>
  <si>
    <t>Acc No</t>
  </si>
  <si>
    <t>Advertising &amp; marketing costs</t>
  </si>
  <si>
    <t>IS-305</t>
  </si>
  <si>
    <t>IS-310</t>
  </si>
  <si>
    <t>IS-315</t>
  </si>
  <si>
    <t>IS-700</t>
  </si>
  <si>
    <t>IS-600</t>
  </si>
  <si>
    <t>IS-650</t>
  </si>
  <si>
    <t>Advertising &amp; Marketing</t>
  </si>
  <si>
    <t>Other Expenses</t>
  </si>
  <si>
    <t>Interest Paid</t>
  </si>
  <si>
    <t>Dividends Paid</t>
  </si>
  <si>
    <t>Other revenue</t>
  </si>
  <si>
    <t>Description</t>
  </si>
  <si>
    <t>BS-500</t>
  </si>
  <si>
    <t>Trade Debtors</t>
  </si>
  <si>
    <t>BS-600</t>
  </si>
  <si>
    <t>BS-100</t>
  </si>
  <si>
    <t>BS-150</t>
  </si>
  <si>
    <t>BS-200</t>
  </si>
  <si>
    <t>BS-900</t>
  </si>
  <si>
    <t>BS-800</t>
  </si>
  <si>
    <t>Long Term Liabilities</t>
  </si>
  <si>
    <t>Long term loans</t>
  </si>
  <si>
    <t>Finance leases</t>
  </si>
  <si>
    <t>Provisions</t>
  </si>
  <si>
    <t>BS-700</t>
  </si>
  <si>
    <t>Trade Creditors</t>
  </si>
  <si>
    <t>BS-300</t>
  </si>
  <si>
    <t>Petty Cash</t>
  </si>
  <si>
    <t>Cash at bank</t>
  </si>
  <si>
    <t>Repayment of finance leases</t>
  </si>
  <si>
    <t>Dividends payable</t>
  </si>
  <si>
    <t>I-REVS</t>
  </si>
  <si>
    <t>I-REVO</t>
  </si>
  <si>
    <t>I-COS</t>
  </si>
  <si>
    <t>I-DIS</t>
  </si>
  <si>
    <t>I-ADV</t>
  </si>
  <si>
    <t>I-ADM</t>
  </si>
  <si>
    <t>I-OTX</t>
  </si>
  <si>
    <t>I-FIN</t>
  </si>
  <si>
    <t>I-TAX</t>
  </si>
  <si>
    <t>I-DIV</t>
  </si>
  <si>
    <t>B-DEBT</t>
  </si>
  <si>
    <t>B-VEST</t>
  </si>
  <si>
    <t>B-DTAX</t>
  </si>
  <si>
    <t>B-LOAN</t>
  </si>
  <si>
    <t>B-FLEASE</t>
  </si>
  <si>
    <t>B-CREDT</t>
  </si>
  <si>
    <t>B-INT</t>
  </si>
  <si>
    <t>B-TAX</t>
  </si>
  <si>
    <t>B-DIV</t>
  </si>
  <si>
    <t>B-CASH</t>
  </si>
  <si>
    <t>B-BANK</t>
  </si>
  <si>
    <t>B-PROV</t>
  </si>
  <si>
    <t>B-SCAP</t>
  </si>
  <si>
    <t>B-RET</t>
  </si>
  <si>
    <t>Gross profit</t>
  </si>
  <si>
    <t>Cost of sales</t>
  </si>
  <si>
    <t>Deferred tax</t>
  </si>
  <si>
    <t>Profit / (Loss) before tax</t>
  </si>
  <si>
    <t>Income Statement</t>
  </si>
  <si>
    <t>Balance Sheet - Assets</t>
  </si>
  <si>
    <t>Balance Sheet - Equity</t>
  </si>
  <si>
    <t>Balance Sheet - Liabilities</t>
  </si>
  <si>
    <t>© www.excel-skills.com</t>
  </si>
  <si>
    <t>Year End Date</t>
  </si>
  <si>
    <t>Diff</t>
  </si>
  <si>
    <t>Diff%</t>
  </si>
  <si>
    <t>Gross profit %</t>
  </si>
  <si>
    <t>Expenses</t>
  </si>
  <si>
    <t>- Finance costs</t>
  </si>
  <si>
    <t>- Income taxes</t>
  </si>
  <si>
    <t>- Dividends received</t>
  </si>
  <si>
    <t>- Depreciation</t>
  </si>
  <si>
    <t>- Amortisation</t>
  </si>
  <si>
    <t>- Increase / (Decrease) in provisions</t>
  </si>
  <si>
    <t>- Decrease / (Increase) in inventories</t>
  </si>
  <si>
    <t>IS-320</t>
  </si>
  <si>
    <t>IS-325</t>
  </si>
  <si>
    <t>IS-330</t>
  </si>
  <si>
    <t>IS-335</t>
  </si>
  <si>
    <t>IS-340</t>
  </si>
  <si>
    <t>IS-345</t>
  </si>
  <si>
    <t>IS-350</t>
  </si>
  <si>
    <t>IS-355</t>
  </si>
  <si>
    <t>IS-360</t>
  </si>
  <si>
    <t>IS-365</t>
  </si>
  <si>
    <t>IS-370</t>
  </si>
  <si>
    <t>IS-375</t>
  </si>
  <si>
    <t>IS-380</t>
  </si>
  <si>
    <t>IS-385</t>
  </si>
  <si>
    <t>IS-390</t>
  </si>
  <si>
    <t>IS-395</t>
  </si>
  <si>
    <t>IS-400</t>
  </si>
  <si>
    <t>IS-500</t>
  </si>
  <si>
    <t>Accounting Fees</t>
  </si>
  <si>
    <t>Bank Charges</t>
  </si>
  <si>
    <t>Commission</t>
  </si>
  <si>
    <t>Computer Expenses</t>
  </si>
  <si>
    <t>Consumables &amp; Cleaning</t>
  </si>
  <si>
    <t>Entertainment</t>
  </si>
  <si>
    <t>Insurance</t>
  </si>
  <si>
    <t>Office Expenses</t>
  </si>
  <si>
    <t>Office Rent</t>
  </si>
  <si>
    <t>Postage</t>
  </si>
  <si>
    <t>Professional &amp; Legal Fees</t>
  </si>
  <si>
    <t>Salaries &amp; Wages</t>
  </si>
  <si>
    <t>Stationery</t>
  </si>
  <si>
    <t>Subscriptions &amp; Memberships</t>
  </si>
  <si>
    <t>Telephone &amp; Internet</t>
  </si>
  <si>
    <t>Training</t>
  </si>
  <si>
    <t>Travelling &amp; Accommodation</t>
  </si>
  <si>
    <t>Utilities</t>
  </si>
  <si>
    <t>Depreciation</t>
  </si>
  <si>
    <t>Taxation</t>
  </si>
  <si>
    <t>Inventory</t>
  </si>
  <si>
    <t>I-ADM01</t>
  </si>
  <si>
    <t>I-ADM02</t>
  </si>
  <si>
    <t>I-ADM03</t>
  </si>
  <si>
    <t>I-ADM04</t>
  </si>
  <si>
    <t>I-ADM05</t>
  </si>
  <si>
    <t>I-ADM06</t>
  </si>
  <si>
    <t>I-ADV01</t>
  </si>
  <si>
    <t>I-ADM07</t>
  </si>
  <si>
    <t>I-ADM08</t>
  </si>
  <si>
    <t>I-ADM09</t>
  </si>
  <si>
    <t>I-ADM10</t>
  </si>
  <si>
    <t>I-ADM11</t>
  </si>
  <si>
    <t>I-ADM12</t>
  </si>
  <si>
    <t>I-ADM13</t>
  </si>
  <si>
    <t>I-ADM14</t>
  </si>
  <si>
    <t>I-ADM15</t>
  </si>
  <si>
    <t>I-ADM16</t>
  </si>
  <si>
    <t>I-ADM17</t>
  </si>
  <si>
    <t>I-ADM18</t>
  </si>
  <si>
    <t>I-ADM19</t>
  </si>
  <si>
    <t>Profit / (Loss) before finance costs</t>
  </si>
  <si>
    <t>B-PPE</t>
  </si>
  <si>
    <t>B-IPA</t>
  </si>
  <si>
    <t>B-INV</t>
  </si>
  <si>
    <t>Bank</t>
  </si>
  <si>
    <t>Other cash accounts</t>
  </si>
  <si>
    <t>Retained earnings at start of period</t>
  </si>
  <si>
    <t>Retained earnings at end of period</t>
  </si>
  <si>
    <t>Profit / (Loss) for the period</t>
  </si>
  <si>
    <t>Non-cash income and expenses:</t>
  </si>
  <si>
    <t>- Decrease / (Increase) in receivables</t>
  </si>
  <si>
    <t>- Increase / (Decrease) in payables</t>
  </si>
  <si>
    <t>Cash equivalents at beginning of period</t>
  </si>
  <si>
    <t>Cash equivalents at end of period</t>
  </si>
  <si>
    <t>Changes in working capital:</t>
  </si>
  <si>
    <t>Net increase / (decrease) in cash</t>
  </si>
  <si>
    <t>Dividends Received</t>
  </si>
  <si>
    <t>I-REVO02</t>
  </si>
  <si>
    <t>- Interest Received</t>
  </si>
  <si>
    <t>Interest Received</t>
  </si>
  <si>
    <t>I-REVO03</t>
  </si>
  <si>
    <t>BS-510</t>
  </si>
  <si>
    <t>Interest Payable</t>
  </si>
  <si>
    <t>Dividends Payable</t>
  </si>
  <si>
    <t>Proceeds / (Repayment) of loans</t>
  </si>
  <si>
    <t>BS CASH</t>
  </si>
  <si>
    <t>Default Reporting Classes</t>
  </si>
  <si>
    <t>Amount</t>
  </si>
  <si>
    <t>Check</t>
  </si>
  <si>
    <t>Trial Balance Sequence Check</t>
  </si>
  <si>
    <t>Comparative Financials Template</t>
  </si>
  <si>
    <t>Land &amp; Buildings - Cost</t>
  </si>
  <si>
    <t>BS-105</t>
  </si>
  <si>
    <t>Plant &amp; Equipment - Cost</t>
  </si>
  <si>
    <t>BS-110</t>
  </si>
  <si>
    <t>Furniture &amp; Fittings - Cost</t>
  </si>
  <si>
    <t>Land &amp; Buildings - Accum Depreciation</t>
  </si>
  <si>
    <t>BS-155</t>
  </si>
  <si>
    <t>Plant &amp; Equipment - Accum Depreciation</t>
  </si>
  <si>
    <t>BS-160</t>
  </si>
  <si>
    <t>Furniture &amp; Fittings - Accum Depreciation</t>
  </si>
  <si>
    <t>Goodwill - Cost</t>
  </si>
  <si>
    <t>BS-205</t>
  </si>
  <si>
    <t>Trademarks - Cost</t>
  </si>
  <si>
    <t>BS-210</t>
  </si>
  <si>
    <t>Software - Cost</t>
  </si>
  <si>
    <t>BS-250</t>
  </si>
  <si>
    <t>Goodwill - Accum Amortization</t>
  </si>
  <si>
    <t>BS-255</t>
  </si>
  <si>
    <t>Trademarks - Accum Amortization</t>
  </si>
  <si>
    <t>BS-260</t>
  </si>
  <si>
    <t>Software - Accum Amortization</t>
  </si>
  <si>
    <t>BS-270</t>
  </si>
  <si>
    <t>BS-305</t>
  </si>
  <si>
    <t>Bank Overdraft</t>
  </si>
  <si>
    <t>BS-310</t>
  </si>
  <si>
    <t>Bank Accounts</t>
  </si>
  <si>
    <t>Prepayments</t>
  </si>
  <si>
    <t>Raw Materials</t>
  </si>
  <si>
    <t>BS-605</t>
  </si>
  <si>
    <t>Work in progress</t>
  </si>
  <si>
    <t>BS-610</t>
  </si>
  <si>
    <t>Finished goods</t>
  </si>
  <si>
    <t>BS-705</t>
  </si>
  <si>
    <t>Accruals</t>
  </si>
  <si>
    <t>BS-710</t>
  </si>
  <si>
    <t>BS-715</t>
  </si>
  <si>
    <t>Taxation Provision</t>
  </si>
  <si>
    <t>BS-720</t>
  </si>
  <si>
    <t>BS-730</t>
  </si>
  <si>
    <t>Provision for Bonuses</t>
  </si>
  <si>
    <t>BS-810</t>
  </si>
  <si>
    <t>Finance Leases</t>
  </si>
  <si>
    <t>Deferred Tax</t>
  </si>
  <si>
    <t>BS-950</t>
  </si>
  <si>
    <t>BS-990</t>
  </si>
  <si>
    <t>Retained Earnings - Opening Balance</t>
  </si>
  <si>
    <t>Sales</t>
  </si>
  <si>
    <t>IS-105</t>
  </si>
  <si>
    <t>Royalties</t>
  </si>
  <si>
    <t>IS-150</t>
  </si>
  <si>
    <t>IS-155</t>
  </si>
  <si>
    <t>IS-160</t>
  </si>
  <si>
    <t>Cost of Sales</t>
  </si>
  <si>
    <t>B-DEBP</t>
  </si>
  <si>
    <t>B-CREDA</t>
  </si>
  <si>
    <t>- Decrease / (Increase) in prepayments</t>
  </si>
  <si>
    <t>- Increase / (Decrease) in accruals</t>
  </si>
  <si>
    <t>I-ADM20</t>
  </si>
  <si>
    <t>IS-405</t>
  </si>
  <si>
    <t>Amortization</t>
  </si>
  <si>
    <t>Profit on Disposal of Equipment</t>
  </si>
  <si>
    <t>Trial Balance</t>
  </si>
  <si>
    <t>I-OTX01</t>
  </si>
  <si>
    <t>- Adjustments to retained earnings</t>
  </si>
  <si>
    <t>Example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</si>
</sst>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dd\ mmmm\ yyyy"/>
    <numFmt numFmtId="166" formatCode="0.0%"/>
    <numFmt numFmtId="167" formatCode="_ * #,##0_ ;_ * \(#,##0\)_ ;_ * &quot;-&quot;_ ;_ @_ "/>
    <numFmt numFmtId="168" formatCode="_ * #,##0.0%_ ;_ * \(#,##0.0%\)_ ;_ * &quot;-&quot;_ ;_ @_ "/>
    <numFmt numFmtId="169" formatCode="mmmm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0"/>
      <name val="Arial"/>
      <family val="2"/>
    </font>
    <font>
      <sz val="9"/>
      <color rgb="FF008000"/>
      <name val="Arial"/>
      <family val="2"/>
    </font>
    <font>
      <sz val="9.5"/>
      <color rgb="FF008000"/>
      <name val="Arial"/>
      <family val="2"/>
    </font>
    <font>
      <i/>
      <sz val="9"/>
      <color rgb="FF008000"/>
      <name val="Arial"/>
      <family val="2"/>
    </font>
    <font>
      <b/>
      <sz val="9"/>
      <color rgb="FF008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81C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2" borderId="11" applyNumberFormat="0" applyAlignment="0" applyProtection="0"/>
    <xf numFmtId="0" fontId="7" fillId="3" borderId="12" applyNumberFormat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64" fontId="3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4" fillId="0" borderId="0" xfId="0" applyNumberFormat="1" applyFont="1" applyAlignment="1" applyProtection="1">
      <alignment horizontal="left"/>
      <protection hidden="1"/>
    </xf>
    <xf numFmtId="0" fontId="8" fillId="0" borderId="0" xfId="0" applyNumberFormat="1" applyFont="1" applyProtection="1"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0" fontId="5" fillId="5" borderId="1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3" fillId="0" borderId="0" xfId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6" fontId="11" fillId="0" borderId="0" xfId="4" applyNumberFormat="1" applyFont="1" applyAlignment="1" applyProtection="1">
      <alignment horizontal="left"/>
      <protection hidden="1"/>
    </xf>
    <xf numFmtId="166" fontId="4" fillId="0" borderId="0" xfId="4" applyNumberFormat="1" applyFont="1" applyProtection="1">
      <protection hidden="1"/>
    </xf>
    <xf numFmtId="164" fontId="5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/>
      <protection hidden="1"/>
    </xf>
    <xf numFmtId="167" fontId="3" fillId="0" borderId="0" xfId="1" applyNumberFormat="1" applyFont="1" applyProtection="1">
      <protection hidden="1"/>
    </xf>
    <xf numFmtId="167" fontId="3" fillId="0" borderId="0" xfId="1" applyNumberFormat="1" applyFont="1" applyBorder="1" applyProtection="1">
      <protection hidden="1"/>
    </xf>
    <xf numFmtId="167" fontId="3" fillId="0" borderId="2" xfId="1" applyNumberFormat="1" applyFont="1" applyBorder="1" applyProtection="1">
      <protection hidden="1"/>
    </xf>
    <xf numFmtId="167" fontId="3" fillId="0" borderId="3" xfId="1" applyNumberFormat="1" applyFont="1" applyBorder="1" applyProtection="1">
      <protection hidden="1"/>
    </xf>
    <xf numFmtId="167" fontId="3" fillId="0" borderId="4" xfId="1" applyNumberFormat="1" applyFont="1" applyBorder="1" applyProtection="1">
      <protection hidden="1"/>
    </xf>
    <xf numFmtId="167" fontId="3" fillId="0" borderId="5" xfId="1" applyNumberFormat="1" applyFont="1" applyBorder="1" applyProtection="1">
      <protection hidden="1"/>
    </xf>
    <xf numFmtId="168" fontId="3" fillId="0" borderId="0" xfId="1" applyNumberFormat="1" applyFont="1" applyProtection="1">
      <protection hidden="1"/>
    </xf>
    <xf numFmtId="168" fontId="3" fillId="0" borderId="0" xfId="1" applyNumberFormat="1" applyFont="1" applyBorder="1" applyProtection="1">
      <protection hidden="1"/>
    </xf>
    <xf numFmtId="168" fontId="4" fillId="0" borderId="0" xfId="4" applyNumberFormat="1" applyFont="1" applyBorder="1" applyProtection="1">
      <protection hidden="1"/>
    </xf>
    <xf numFmtId="167" fontId="5" fillId="0" borderId="6" xfId="1" applyNumberFormat="1" applyFont="1" applyBorder="1" applyProtection="1">
      <protection hidden="1"/>
    </xf>
    <xf numFmtId="167" fontId="3" fillId="0" borderId="7" xfId="1" applyNumberFormat="1" applyFont="1" applyBorder="1" applyProtection="1">
      <protection hidden="1"/>
    </xf>
    <xf numFmtId="167" fontId="3" fillId="0" borderId="8" xfId="1" applyNumberFormat="1" applyFont="1" applyBorder="1" applyProtection="1">
      <protection hidden="1"/>
    </xf>
    <xf numFmtId="167" fontId="5" fillId="0" borderId="7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7" fontId="9" fillId="0" borderId="0" xfId="1" applyNumberFormat="1" applyFont="1" applyProtection="1">
      <protection hidden="1"/>
    </xf>
    <xf numFmtId="168" fontId="9" fillId="0" borderId="0" xfId="1" applyNumberFormat="1" applyFont="1" applyProtection="1">
      <protection hidden="1"/>
    </xf>
    <xf numFmtId="164" fontId="9" fillId="0" borderId="0" xfId="1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167" fontId="3" fillId="0" borderId="0" xfId="1" applyNumberFormat="1" applyFont="1" applyAlignment="1" applyProtection="1">
      <alignment vertical="center"/>
      <protection hidden="1"/>
    </xf>
    <xf numFmtId="168" fontId="3" fillId="0" borderId="0" xfId="1" applyNumberFormat="1" applyFont="1" applyAlignment="1" applyProtection="1">
      <alignment vertical="center"/>
      <protection hidden="1"/>
    </xf>
    <xf numFmtId="0" fontId="5" fillId="4" borderId="1" xfId="0" applyNumberFormat="1" applyFont="1" applyFill="1" applyBorder="1" applyAlignment="1" applyProtection="1">
      <alignment horizontal="left" vertical="center"/>
      <protection hidden="1"/>
    </xf>
    <xf numFmtId="0" fontId="5" fillId="5" borderId="1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4" fontId="4" fillId="0" borderId="0" xfId="1" applyFont="1" applyProtection="1">
      <protection hidden="1"/>
    </xf>
    <xf numFmtId="0" fontId="3" fillId="5" borderId="14" xfId="0" applyFont="1" applyFill="1" applyBorder="1" applyAlignment="1" applyProtection="1">
      <alignment horizontal="center"/>
      <protection hidden="1"/>
    </xf>
    <xf numFmtId="169" fontId="13" fillId="0" borderId="0" xfId="0" applyNumberFormat="1" applyFont="1" applyAlignment="1" applyProtection="1">
      <alignment horizontal="left"/>
      <protection hidden="1"/>
    </xf>
    <xf numFmtId="169" fontId="3" fillId="4" borderId="1" xfId="0" applyNumberFormat="1" applyFont="1" applyFill="1" applyBorder="1" applyAlignment="1" applyProtection="1">
      <alignment horizontal="center"/>
      <protection hidden="1"/>
    </xf>
    <xf numFmtId="0" fontId="5" fillId="4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left" vertical="center"/>
      <protection hidden="1"/>
    </xf>
    <xf numFmtId="0" fontId="10" fillId="0" borderId="0" xfId="0" applyNumberFormat="1" applyFont="1" applyProtection="1">
      <protection hidden="1"/>
    </xf>
    <xf numFmtId="0" fontId="3" fillId="4" borderId="14" xfId="0" applyFont="1" applyFill="1" applyBorder="1" applyAlignment="1" applyProtection="1">
      <alignment horizontal="left"/>
      <protection hidden="1"/>
    </xf>
    <xf numFmtId="0" fontId="3" fillId="4" borderId="13" xfId="0" applyFont="1" applyFill="1" applyBorder="1" applyAlignment="1" applyProtection="1">
      <alignment horizontal="left"/>
      <protection hidden="1"/>
    </xf>
    <xf numFmtId="0" fontId="5" fillId="5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167" fontId="5" fillId="0" borderId="0" xfId="1" applyNumberFormat="1" applyFont="1" applyBorder="1" applyProtection="1">
      <protection hidden="1"/>
    </xf>
    <xf numFmtId="0" fontId="3" fillId="0" borderId="15" xfId="0" applyFont="1" applyBorder="1" applyAlignment="1" applyProtection="1">
      <alignment horizontal="left"/>
      <protection hidden="1"/>
    </xf>
    <xf numFmtId="168" fontId="3" fillId="0" borderId="16" xfId="1" applyNumberFormat="1" applyFont="1" applyBorder="1" applyProtection="1">
      <protection hidden="1"/>
    </xf>
    <xf numFmtId="168" fontId="3" fillId="0" borderId="17" xfId="1" applyNumberFormat="1" applyFont="1" applyBorder="1" applyProtection="1">
      <protection hidden="1"/>
    </xf>
    <xf numFmtId="166" fontId="4" fillId="0" borderId="15" xfId="4" applyNumberFormat="1" applyFont="1" applyBorder="1" applyAlignment="1" applyProtection="1">
      <alignment horizontal="left"/>
      <protection hidden="1"/>
    </xf>
    <xf numFmtId="168" fontId="4" fillId="0" borderId="16" xfId="4" applyNumberFormat="1" applyFont="1" applyBorder="1" applyProtection="1">
      <protection hidden="1"/>
    </xf>
    <xf numFmtId="168" fontId="3" fillId="0" borderId="18" xfId="1" applyNumberFormat="1" applyFont="1" applyBorder="1" applyProtection="1">
      <protection hidden="1"/>
    </xf>
    <xf numFmtId="168" fontId="3" fillId="0" borderId="19" xfId="1" applyNumberFormat="1" applyFont="1" applyBorder="1" applyProtection="1">
      <protection hidden="1"/>
    </xf>
    <xf numFmtId="168" fontId="3" fillId="0" borderId="20" xfId="1" applyNumberFormat="1" applyFont="1" applyBorder="1" applyProtection="1">
      <protection hidden="1"/>
    </xf>
    <xf numFmtId="0" fontId="5" fillId="0" borderId="21" xfId="0" applyFont="1" applyBorder="1" applyAlignment="1" applyProtection="1">
      <alignment horizontal="left"/>
      <protection hidden="1"/>
    </xf>
    <xf numFmtId="168" fontId="5" fillId="0" borderId="10" xfId="1" applyNumberFormat="1" applyFont="1" applyBorder="1" applyProtection="1">
      <protection hidden="1"/>
    </xf>
    <xf numFmtId="168" fontId="5" fillId="0" borderId="22" xfId="1" applyNumberFormat="1" applyFont="1" applyBorder="1" applyProtection="1">
      <protection hidden="1"/>
    </xf>
    <xf numFmtId="167" fontId="3" fillId="0" borderId="15" xfId="1" applyNumberFormat="1" applyFont="1" applyBorder="1" applyProtection="1">
      <protection hidden="1"/>
    </xf>
    <xf numFmtId="167" fontId="3" fillId="0" borderId="23" xfId="1" applyNumberFormat="1" applyFont="1" applyBorder="1" applyProtection="1">
      <protection hidden="1"/>
    </xf>
    <xf numFmtId="168" fontId="4" fillId="0" borderId="15" xfId="4" applyNumberFormat="1" applyFont="1" applyBorder="1" applyProtection="1">
      <protection hidden="1"/>
    </xf>
    <xf numFmtId="167" fontId="3" fillId="0" borderId="24" xfId="1" applyNumberFormat="1" applyFont="1" applyBorder="1" applyProtection="1">
      <protection hidden="1"/>
    </xf>
    <xf numFmtId="167" fontId="3" fillId="0" borderId="25" xfId="1" applyNumberFormat="1" applyFont="1" applyBorder="1" applyProtection="1">
      <protection hidden="1"/>
    </xf>
    <xf numFmtId="167" fontId="3" fillId="0" borderId="26" xfId="1" applyNumberFormat="1" applyFont="1" applyBorder="1" applyProtection="1">
      <protection hidden="1"/>
    </xf>
    <xf numFmtId="167" fontId="5" fillId="0" borderId="9" xfId="1" applyNumberFormat="1" applyFont="1" applyBorder="1" applyProtection="1">
      <protection hidden="1"/>
    </xf>
    <xf numFmtId="167" fontId="5" fillId="0" borderId="27" xfId="1" applyNumberFormat="1" applyFont="1" applyBorder="1" applyProtection="1">
      <protection hidden="1"/>
    </xf>
    <xf numFmtId="0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left"/>
      <protection hidden="1"/>
    </xf>
    <xf numFmtId="168" fontId="5" fillId="0" borderId="16" xfId="1" applyNumberFormat="1" applyFont="1" applyBorder="1" applyProtection="1">
      <protection hidden="1"/>
    </xf>
    <xf numFmtId="168" fontId="3" fillId="0" borderId="10" xfId="1" applyNumberFormat="1" applyFont="1" applyBorder="1" applyProtection="1">
      <protection hidden="1"/>
    </xf>
    <xf numFmtId="168" fontId="3" fillId="0" borderId="28" xfId="1" applyNumberFormat="1" applyFont="1" applyBorder="1" applyProtection="1">
      <protection hidden="1"/>
    </xf>
    <xf numFmtId="167" fontId="5" fillId="0" borderId="15" xfId="1" applyNumberFormat="1" applyFont="1" applyBorder="1" applyProtection="1">
      <protection hidden="1"/>
    </xf>
    <xf numFmtId="167" fontId="3" fillId="0" borderId="9" xfId="1" applyNumberFormat="1" applyFont="1" applyBorder="1" applyProtection="1">
      <protection hidden="1"/>
    </xf>
    <xf numFmtId="167" fontId="3" fillId="0" borderId="29" xfId="1" applyNumberFormat="1" applyFont="1" applyBorder="1" applyProtection="1">
      <protection hidden="1"/>
    </xf>
    <xf numFmtId="167" fontId="5" fillId="0" borderId="23" xfId="1" applyNumberFormat="1" applyFont="1" applyBorder="1" applyProtection="1">
      <protection hidden="1"/>
    </xf>
    <xf numFmtId="0" fontId="0" fillId="0" borderId="0" xfId="0" applyNumberFormat="1"/>
    <xf numFmtId="164" fontId="3" fillId="0" borderId="0" xfId="1" applyFont="1" applyFill="1" applyProtection="1">
      <protection hidden="1"/>
    </xf>
    <xf numFmtId="49" fontId="5" fillId="0" borderId="15" xfId="0" applyNumberFormat="1" applyFont="1" applyBorder="1" applyAlignment="1" applyProtection="1">
      <alignment horizontal="left"/>
      <protection hidden="1"/>
    </xf>
    <xf numFmtId="49" fontId="3" fillId="0" borderId="15" xfId="0" applyNumberFormat="1" applyFont="1" applyBorder="1" applyAlignment="1" applyProtection="1">
      <alignment horizontal="left"/>
      <protection hidden="1"/>
    </xf>
    <xf numFmtId="49" fontId="5" fillId="0" borderId="21" xfId="0" applyNumberFormat="1" applyFont="1" applyBorder="1" applyAlignment="1" applyProtection="1">
      <alignment horizontal="left"/>
      <protection hidden="1"/>
    </xf>
    <xf numFmtId="165" fontId="3" fillId="5" borderId="9" xfId="0" applyNumberFormat="1" applyFont="1" applyFill="1" applyBorder="1" applyAlignment="1" applyProtection="1">
      <alignment horizontal="center"/>
      <protection hidden="1"/>
    </xf>
    <xf numFmtId="165" fontId="3" fillId="5" borderId="10" xfId="0" applyNumberFormat="1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Protection="1">
      <protection hidden="1"/>
    </xf>
  </cellXfs>
  <cellStyles count="5">
    <cellStyle name="Comma" xfId="1" builtinId="3"/>
    <cellStyle name="Input" xfId="2" builtinId="20" customBuiltin="1"/>
    <cellStyle name="Normal" xfId="0" builtinId="0" customBuiltin="1"/>
    <cellStyle name="Output" xfId="3" builtinId="21" customBuiltin="1"/>
    <cellStyle name="Percent" xfId="4" builtinId="5"/>
  </cellStyles>
  <dxfs count="1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220576</xdr:colOff>
      <xdr:row>3</xdr:row>
      <xdr:rowOff>70182</xdr:rowOff>
    </xdr:from>
    <xdr:to>
      <xdr:col>32</xdr:col>
      <xdr:colOff>292576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4895339" y="651708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60151</xdr:colOff>
      <xdr:row>3</xdr:row>
      <xdr:rowOff>60156</xdr:rowOff>
    </xdr:from>
    <xdr:to>
      <xdr:col>26</xdr:col>
      <xdr:colOff>132151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1225704" y="661735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170443</xdr:colOff>
      <xdr:row>3</xdr:row>
      <xdr:rowOff>60156</xdr:rowOff>
    </xdr:from>
    <xdr:to>
      <xdr:col>23</xdr:col>
      <xdr:colOff>61969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9320706" y="661735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90229</xdr:colOff>
      <xdr:row>3</xdr:row>
      <xdr:rowOff>70182</xdr:rowOff>
    </xdr:from>
    <xdr:to>
      <xdr:col>23</xdr:col>
      <xdr:colOff>162229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9420966" y="671761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280732</xdr:colOff>
      <xdr:row>4</xdr:row>
      <xdr:rowOff>20050</xdr:rowOff>
    </xdr:from>
    <xdr:to>
      <xdr:col>17</xdr:col>
      <xdr:colOff>352732</xdr:colOff>
      <xdr:row>4</xdr:row>
      <xdr:rowOff>92050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8568732" y="8321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zoomScale="95" zoomScaleNormal="95" workbookViewId="0">
      <selection activeCell="D13" sqref="D13"/>
    </sheetView>
  </sheetViews>
  <sheetFormatPr defaultColWidth="9.1328125" defaultRowHeight="15" customHeight="1" x14ac:dyDescent="0.3"/>
  <cols>
    <col min="1" max="1" width="25.73046875" style="2" customWidth="1"/>
    <col min="2" max="2" width="15.73046875" style="2" customWidth="1"/>
    <col min="3" max="3" width="5.73046875" style="2" customWidth="1"/>
    <col min="4" max="14" width="15.73046875" style="2" customWidth="1"/>
    <col min="15" max="16384" width="9.1328125" style="2"/>
  </cols>
  <sheetData>
    <row r="1" spans="1:4" x14ac:dyDescent="0.4">
      <c r="A1" s="1" t="s">
        <v>226</v>
      </c>
    </row>
    <row r="2" spans="1:4" ht="15" customHeight="1" x14ac:dyDescent="0.35">
      <c r="A2" s="3" t="s">
        <v>0</v>
      </c>
    </row>
    <row r="3" spans="1:4" ht="15" customHeight="1" x14ac:dyDescent="0.3">
      <c r="A3" s="10" t="s">
        <v>124</v>
      </c>
    </row>
    <row r="4" spans="1:4" ht="15" customHeight="1" x14ac:dyDescent="0.3">
      <c r="A4" s="2" t="s">
        <v>1</v>
      </c>
      <c r="B4" s="105" t="s">
        <v>291</v>
      </c>
      <c r="C4" s="105"/>
      <c r="D4" s="105"/>
    </row>
    <row r="6" spans="1:4" ht="15" customHeight="1" x14ac:dyDescent="0.3">
      <c r="A6" s="2" t="s">
        <v>3</v>
      </c>
      <c r="B6" s="60">
        <v>42401</v>
      </c>
    </row>
    <row r="8" spans="1:4" ht="15" customHeight="1" x14ac:dyDescent="0.3">
      <c r="A8" s="2" t="s">
        <v>2</v>
      </c>
      <c r="B8" s="4">
        <v>2017</v>
      </c>
      <c r="D8" s="89">
        <f ca="1">IF(ISBLANK($B$8),YEAR(TODAY()),$B$8)</f>
        <v>2017</v>
      </c>
    </row>
    <row r="10" spans="1:4" ht="15" customHeight="1" x14ac:dyDescent="0.3">
      <c r="A10" s="2" t="s">
        <v>125</v>
      </c>
      <c r="B10" s="103">
        <f ca="1">IF(ISBLANK($B$8)=TRUE,IF(ISBLANK($B$6)=TRUE,DATE(YEAR(TODAY()),MONTH(TODAY())+1,0),DATE(YEAR(TODAY()),MONTH($B$6)+1,0)),IF(ISBLANK($B$6)=TRUE,DATE($B$8,MONTH(TODAY())+1,0),DATE($B$8,MONTH($B$6)+1,0)))</f>
        <v>42794</v>
      </c>
      <c r="C10" s="104"/>
    </row>
    <row r="13" spans="1:4" ht="15" customHeight="1" x14ac:dyDescent="0.35">
      <c r="B13" s="59">
        <f ca="1">DATE(YEAR(TODAY()),1,1)</f>
        <v>43831</v>
      </c>
    </row>
    <row r="14" spans="1:4" ht="15" customHeight="1" x14ac:dyDescent="0.35">
      <c r="B14" s="59">
        <f ca="1">DATE(YEAR(TODAY()),2,1)</f>
        <v>43862</v>
      </c>
    </row>
    <row r="15" spans="1:4" ht="15" customHeight="1" x14ac:dyDescent="0.35">
      <c r="B15" s="59">
        <f ca="1">DATE(YEAR(TODAY()),3,1)</f>
        <v>43891</v>
      </c>
    </row>
    <row r="16" spans="1:4" ht="15" customHeight="1" x14ac:dyDescent="0.35">
      <c r="B16" s="59">
        <f ca="1">DATE(YEAR(TODAY()),4,1)</f>
        <v>43922</v>
      </c>
    </row>
    <row r="17" spans="2:2" ht="15" customHeight="1" x14ac:dyDescent="0.35">
      <c r="B17" s="59">
        <f ca="1">DATE(YEAR(TODAY()),5,1)</f>
        <v>43952</v>
      </c>
    </row>
    <row r="18" spans="2:2" ht="15" customHeight="1" x14ac:dyDescent="0.35">
      <c r="B18" s="59">
        <f ca="1">DATE(YEAR(TODAY()),6,1)</f>
        <v>43983</v>
      </c>
    </row>
    <row r="19" spans="2:2" ht="15" customHeight="1" x14ac:dyDescent="0.35">
      <c r="B19" s="59">
        <f ca="1">DATE(YEAR(TODAY()),7,1)</f>
        <v>44013</v>
      </c>
    </row>
    <row r="20" spans="2:2" ht="15" customHeight="1" x14ac:dyDescent="0.35">
      <c r="B20" s="59">
        <f ca="1">DATE(YEAR(TODAY()),8,1)</f>
        <v>44044</v>
      </c>
    </row>
    <row r="21" spans="2:2" ht="15" customHeight="1" x14ac:dyDescent="0.35">
      <c r="B21" s="59">
        <f ca="1">DATE(YEAR(TODAY()),9,1)</f>
        <v>44075</v>
      </c>
    </row>
    <row r="22" spans="2:2" ht="15" customHeight="1" x14ac:dyDescent="0.35">
      <c r="B22" s="59">
        <f ca="1">DATE(YEAR(TODAY()),10,1)</f>
        <v>44105</v>
      </c>
    </row>
    <row r="23" spans="2:2" ht="15" customHeight="1" x14ac:dyDescent="0.35">
      <c r="B23" s="59">
        <f ca="1">DATE(YEAR(TODAY()),11,1)</f>
        <v>44136</v>
      </c>
    </row>
    <row r="24" spans="2:2" ht="15" customHeight="1" x14ac:dyDescent="0.35">
      <c r="B24" s="59">
        <f ca="1">DATE(YEAR(TODAY()),12,1)</f>
        <v>44166</v>
      </c>
    </row>
  </sheetData>
  <mergeCells count="2">
    <mergeCell ref="B10:C10"/>
    <mergeCell ref="B4:D4"/>
  </mergeCells>
  <conditionalFormatting sqref="B4:D4 B6 B8">
    <cfRule type="containsBlanks" dxfId="15" priority="1" stopIfTrue="1">
      <formula>LEN(TRIM(B4))=0</formula>
    </cfRule>
  </conditionalFormatting>
  <dataValidations count="2">
    <dataValidation type="list" allowBlank="1" showInputMessage="1" showErrorMessage="1" errorTitle="Invalid Selection" error="Select a valid month from the list box." sqref="B6" xr:uid="{00000000-0002-0000-0100-000000000000}">
      <formula1>MonthNames</formula1>
    </dataValidation>
    <dataValidation type="whole" allowBlank="1" showInputMessage="1" showErrorMessage="1" errorTitle="Invalid Data" error="Enter a valid year between 2000 and 2100." sqref="B8" xr:uid="{00000000-0002-0000-0100-000001000000}">
      <formula1>2000</formula1>
      <formula2>2100</formula2>
    </dataValidation>
  </dataValidations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6"/>
  <sheetViews>
    <sheetView zoomScale="95" zoomScaleNormal="95" workbookViewId="0">
      <pane ySplit="4" topLeftCell="A5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0.73046875" style="2" customWidth="1"/>
    <col min="2" max="2" width="61.3984375" style="2" bestFit="1" customWidth="1"/>
    <col min="3" max="14" width="15.73046875" style="2" customWidth="1"/>
    <col min="15" max="16384" width="9.1328125" style="2"/>
  </cols>
  <sheetData>
    <row r="1" spans="1:2" x14ac:dyDescent="0.4">
      <c r="A1" s="1" t="s">
        <v>226</v>
      </c>
    </row>
    <row r="2" spans="1:2" ht="15" customHeight="1" x14ac:dyDescent="0.35">
      <c r="A2" s="3" t="s">
        <v>222</v>
      </c>
    </row>
    <row r="3" spans="1:2" ht="15" customHeight="1" x14ac:dyDescent="0.3">
      <c r="A3" s="10" t="s">
        <v>124</v>
      </c>
    </row>
    <row r="4" spans="1:2" ht="18" customHeight="1" x14ac:dyDescent="0.3">
      <c r="A4" s="15" t="s">
        <v>13</v>
      </c>
      <c r="B4" s="15" t="s">
        <v>72</v>
      </c>
    </row>
    <row r="5" spans="1:2" ht="15" customHeight="1" x14ac:dyDescent="0.35">
      <c r="A5" s="3" t="s">
        <v>120</v>
      </c>
    </row>
    <row r="6" spans="1:2" ht="15" customHeight="1" x14ac:dyDescent="0.3">
      <c r="A6" s="5" t="s">
        <v>92</v>
      </c>
      <c r="B6" s="2" t="s">
        <v>53</v>
      </c>
    </row>
    <row r="7" spans="1:2" ht="15" customHeight="1" x14ac:dyDescent="0.3">
      <c r="A7" s="5" t="s">
        <v>93</v>
      </c>
      <c r="B7" s="2" t="s">
        <v>71</v>
      </c>
    </row>
    <row r="8" spans="1:2" ht="15" customHeight="1" x14ac:dyDescent="0.3">
      <c r="A8" s="5" t="s">
        <v>94</v>
      </c>
      <c r="B8" s="6" t="s">
        <v>117</v>
      </c>
    </row>
    <row r="9" spans="1:2" ht="15" customHeight="1" x14ac:dyDescent="0.3">
      <c r="A9" s="5" t="s">
        <v>95</v>
      </c>
      <c r="B9" s="6" t="s">
        <v>6</v>
      </c>
    </row>
    <row r="10" spans="1:2" ht="15" customHeight="1" x14ac:dyDescent="0.3">
      <c r="A10" s="5" t="s">
        <v>96</v>
      </c>
      <c r="B10" s="2" t="s">
        <v>60</v>
      </c>
    </row>
    <row r="11" spans="1:2" ht="15" customHeight="1" x14ac:dyDescent="0.3">
      <c r="A11" s="5" t="s">
        <v>97</v>
      </c>
      <c r="B11" s="2" t="s">
        <v>7</v>
      </c>
    </row>
    <row r="12" spans="1:2" ht="15" customHeight="1" x14ac:dyDescent="0.3">
      <c r="A12" s="5" t="s">
        <v>98</v>
      </c>
      <c r="B12" s="2" t="s">
        <v>8</v>
      </c>
    </row>
    <row r="13" spans="1:2" ht="15" customHeight="1" x14ac:dyDescent="0.3">
      <c r="A13" s="5" t="s">
        <v>99</v>
      </c>
      <c r="B13" s="2" t="s">
        <v>9</v>
      </c>
    </row>
    <row r="14" spans="1:2" ht="15" customHeight="1" x14ac:dyDescent="0.3">
      <c r="A14" s="5" t="s">
        <v>100</v>
      </c>
      <c r="B14" s="2" t="s">
        <v>10</v>
      </c>
    </row>
    <row r="15" spans="1:2" ht="15" customHeight="1" x14ac:dyDescent="0.3">
      <c r="A15" s="5" t="s">
        <v>101</v>
      </c>
      <c r="B15" s="2" t="s">
        <v>12</v>
      </c>
    </row>
    <row r="16" spans="1:2" ht="15" customHeight="1" x14ac:dyDescent="0.35">
      <c r="A16" s="3" t="s">
        <v>121</v>
      </c>
    </row>
    <row r="17" spans="1:2" ht="15" customHeight="1" x14ac:dyDescent="0.3">
      <c r="A17" s="5" t="s">
        <v>197</v>
      </c>
      <c r="B17" s="2" t="s">
        <v>17</v>
      </c>
    </row>
    <row r="18" spans="1:2" ht="15" customHeight="1" x14ac:dyDescent="0.3">
      <c r="A18" s="5" t="s">
        <v>198</v>
      </c>
      <c r="B18" s="2" t="s">
        <v>18</v>
      </c>
    </row>
    <row r="19" spans="1:2" ht="15" customHeight="1" x14ac:dyDescent="0.3">
      <c r="A19" s="5" t="s">
        <v>103</v>
      </c>
      <c r="B19" s="2" t="s">
        <v>16</v>
      </c>
    </row>
    <row r="20" spans="1:2" ht="15" customHeight="1" x14ac:dyDescent="0.3">
      <c r="A20" s="5" t="s">
        <v>104</v>
      </c>
      <c r="B20" s="2" t="s">
        <v>118</v>
      </c>
    </row>
    <row r="21" spans="1:2" ht="15" customHeight="1" x14ac:dyDescent="0.3">
      <c r="A21" s="5" t="s">
        <v>199</v>
      </c>
      <c r="B21" s="2" t="s">
        <v>175</v>
      </c>
    </row>
    <row r="22" spans="1:2" ht="15" customHeight="1" x14ac:dyDescent="0.3">
      <c r="A22" s="5" t="s">
        <v>102</v>
      </c>
      <c r="B22" s="2" t="s">
        <v>55</v>
      </c>
    </row>
    <row r="23" spans="1:2" ht="15" customHeight="1" x14ac:dyDescent="0.3">
      <c r="A23" s="5" t="s">
        <v>280</v>
      </c>
      <c r="B23" s="2" t="s">
        <v>253</v>
      </c>
    </row>
    <row r="24" spans="1:2" ht="15" customHeight="1" x14ac:dyDescent="0.3">
      <c r="A24" s="5" t="s">
        <v>111</v>
      </c>
      <c r="B24" s="2" t="s">
        <v>56</v>
      </c>
    </row>
    <row r="25" spans="1:2" ht="15" customHeight="1" x14ac:dyDescent="0.3">
      <c r="A25" s="5" t="s">
        <v>112</v>
      </c>
      <c r="B25" s="2" t="s">
        <v>89</v>
      </c>
    </row>
    <row r="26" spans="1:2" ht="15" customHeight="1" x14ac:dyDescent="0.35">
      <c r="A26" s="3" t="s">
        <v>122</v>
      </c>
    </row>
    <row r="27" spans="1:2" ht="15" customHeight="1" x14ac:dyDescent="0.3">
      <c r="A27" s="5" t="s">
        <v>114</v>
      </c>
      <c r="B27" s="2" t="s">
        <v>25</v>
      </c>
    </row>
    <row r="28" spans="1:2" ht="15" customHeight="1" x14ac:dyDescent="0.3">
      <c r="A28" s="5" t="s">
        <v>115</v>
      </c>
      <c r="B28" s="2" t="s">
        <v>11</v>
      </c>
    </row>
    <row r="29" spans="1:2" ht="15" customHeight="1" x14ac:dyDescent="0.35">
      <c r="A29" s="3" t="s">
        <v>123</v>
      </c>
    </row>
    <row r="30" spans="1:2" ht="15" customHeight="1" x14ac:dyDescent="0.3">
      <c r="A30" s="5" t="s">
        <v>105</v>
      </c>
      <c r="B30" s="2" t="s">
        <v>82</v>
      </c>
    </row>
    <row r="31" spans="1:2" ht="15" customHeight="1" x14ac:dyDescent="0.3">
      <c r="A31" s="5" t="s">
        <v>106</v>
      </c>
      <c r="B31" s="2" t="s">
        <v>83</v>
      </c>
    </row>
    <row r="32" spans="1:2" ht="15" customHeight="1" x14ac:dyDescent="0.3">
      <c r="A32" s="5" t="s">
        <v>107</v>
      </c>
      <c r="B32" s="2" t="s">
        <v>33</v>
      </c>
    </row>
    <row r="33" spans="1:2" ht="15" customHeight="1" x14ac:dyDescent="0.3">
      <c r="A33" s="5" t="s">
        <v>113</v>
      </c>
      <c r="B33" s="2" t="s">
        <v>84</v>
      </c>
    </row>
    <row r="34" spans="1:2" ht="15" customHeight="1" x14ac:dyDescent="0.3">
      <c r="A34" s="5" t="s">
        <v>108</v>
      </c>
      <c r="B34" s="2" t="s">
        <v>34</v>
      </c>
    </row>
    <row r="35" spans="1:2" ht="15" customHeight="1" x14ac:dyDescent="0.3">
      <c r="A35" s="5" t="s">
        <v>110</v>
      </c>
      <c r="B35" s="2" t="s">
        <v>91</v>
      </c>
    </row>
    <row r="36" spans="1:2" ht="15" customHeight="1" x14ac:dyDescent="0.3">
      <c r="A36" s="5" t="s">
        <v>109</v>
      </c>
      <c r="B36" s="2" t="s">
        <v>35</v>
      </c>
    </row>
  </sheetData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7"/>
  <sheetViews>
    <sheetView zoomScale="95" zoomScaleNormal="95" workbookViewId="0">
      <pane ySplit="4" topLeftCell="A5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2.73046875" style="14" customWidth="1"/>
    <col min="2" max="2" width="10.73046875" style="8" customWidth="1"/>
    <col min="3" max="3" width="36.1328125" style="8" bestFit="1" customWidth="1"/>
    <col min="4" max="9" width="14.73046875" style="9" customWidth="1"/>
    <col min="10" max="11" width="14.73046875" style="2" customWidth="1"/>
    <col min="12" max="16384" width="9.1328125" style="2"/>
  </cols>
  <sheetData>
    <row r="1" spans="1:9" x14ac:dyDescent="0.4">
      <c r="A1" s="11" t="str">
        <f>'Set-up'!$B$4</f>
        <v>Example Trading Limited</v>
      </c>
    </row>
    <row r="2" spans="1:9" ht="15" customHeight="1" x14ac:dyDescent="0.35">
      <c r="A2" s="12" t="s">
        <v>288</v>
      </c>
    </row>
    <row r="3" spans="1:9" ht="15" customHeight="1" x14ac:dyDescent="0.3">
      <c r="A3" s="13" t="s">
        <v>124</v>
      </c>
      <c r="D3" s="9">
        <f t="shared" ref="D3:H3" ca="1" si="0">IF(TBRowCount=0,0,ROUND(SUBTOTAL(9,OFFSET(D$4,1,0,TBRowCount,1)),2))</f>
        <v>0</v>
      </c>
      <c r="E3" s="9">
        <f t="shared" ca="1" si="0"/>
        <v>0</v>
      </c>
      <c r="F3" s="9">
        <f t="shared" ca="1" si="0"/>
        <v>0</v>
      </c>
      <c r="G3" s="9">
        <f t="shared" ca="1" si="0"/>
        <v>0</v>
      </c>
      <c r="H3" s="9">
        <f t="shared" ca="1" si="0"/>
        <v>0</v>
      </c>
    </row>
    <row r="4" spans="1:9" s="18" customFormat="1" ht="18" customHeight="1" x14ac:dyDescent="0.35">
      <c r="A4" s="53" t="s">
        <v>13</v>
      </c>
      <c r="B4" s="53" t="s">
        <v>59</v>
      </c>
      <c r="C4" s="53" t="s">
        <v>14</v>
      </c>
      <c r="D4" s="61">
        <v>2014</v>
      </c>
      <c r="E4" s="61">
        <v>2015</v>
      </c>
      <c r="F4" s="61">
        <v>2016</v>
      </c>
      <c r="G4" s="61">
        <v>2017</v>
      </c>
      <c r="H4" s="61">
        <v>2018</v>
      </c>
      <c r="I4" s="17"/>
    </row>
    <row r="5" spans="1:9" ht="15" customHeight="1" x14ac:dyDescent="0.3">
      <c r="A5" s="64" t="s">
        <v>197</v>
      </c>
      <c r="B5" s="8" t="s">
        <v>76</v>
      </c>
      <c r="C5" s="8" t="s">
        <v>227</v>
      </c>
      <c r="D5" s="9">
        <v>1400000</v>
      </c>
      <c r="E5" s="99">
        <v>1900000</v>
      </c>
      <c r="F5" s="9">
        <v>1900000</v>
      </c>
      <c r="G5" s="9">
        <v>1950000</v>
      </c>
      <c r="H5" s="9">
        <v>0</v>
      </c>
    </row>
    <row r="6" spans="1:9" ht="15" customHeight="1" x14ac:dyDescent="0.3">
      <c r="A6" s="65" t="s">
        <v>197</v>
      </c>
      <c r="B6" s="8" t="s">
        <v>228</v>
      </c>
      <c r="C6" s="8" t="s">
        <v>229</v>
      </c>
      <c r="D6" s="9">
        <v>600000</v>
      </c>
      <c r="E6" s="99">
        <v>794677</v>
      </c>
      <c r="F6" s="9">
        <v>1102045</v>
      </c>
      <c r="G6" s="9">
        <v>1346045</v>
      </c>
      <c r="H6" s="9">
        <v>0</v>
      </c>
    </row>
    <row r="7" spans="1:9" ht="15" customHeight="1" x14ac:dyDescent="0.3">
      <c r="A7" s="65" t="s">
        <v>197</v>
      </c>
      <c r="B7" s="8" t="s">
        <v>230</v>
      </c>
      <c r="C7" s="8" t="s">
        <v>231</v>
      </c>
      <c r="D7" s="9">
        <v>160000</v>
      </c>
      <c r="E7" s="99">
        <v>160000</v>
      </c>
      <c r="F7" s="9">
        <v>180000</v>
      </c>
      <c r="G7" s="9">
        <v>210000</v>
      </c>
      <c r="H7" s="9">
        <v>0</v>
      </c>
    </row>
    <row r="8" spans="1:9" ht="15" customHeight="1" x14ac:dyDescent="0.3">
      <c r="A8" s="65" t="s">
        <v>197</v>
      </c>
      <c r="B8" s="8" t="s">
        <v>77</v>
      </c>
      <c r="C8" s="8" t="s">
        <v>232</v>
      </c>
      <c r="D8" s="9">
        <v>-330000</v>
      </c>
      <c r="E8" s="99">
        <v>-360000</v>
      </c>
      <c r="F8" s="9">
        <v>-390000</v>
      </c>
      <c r="G8" s="9">
        <v>-420000</v>
      </c>
      <c r="H8" s="9">
        <v>0</v>
      </c>
    </row>
    <row r="9" spans="1:9" ht="15" customHeight="1" x14ac:dyDescent="0.3">
      <c r="A9" s="65" t="s">
        <v>197</v>
      </c>
      <c r="B9" s="8" t="s">
        <v>233</v>
      </c>
      <c r="C9" s="8" t="s">
        <v>234</v>
      </c>
      <c r="D9" s="9">
        <v>-136760</v>
      </c>
      <c r="E9" s="99">
        <v>-182675</v>
      </c>
      <c r="F9" s="9">
        <v>-228590</v>
      </c>
      <c r="G9" s="9">
        <v>-278100</v>
      </c>
      <c r="H9" s="9">
        <v>0</v>
      </c>
    </row>
    <row r="10" spans="1:9" ht="15" customHeight="1" x14ac:dyDescent="0.3">
      <c r="A10" s="65" t="s">
        <v>197</v>
      </c>
      <c r="B10" s="8" t="s">
        <v>235</v>
      </c>
      <c r="C10" s="8" t="s">
        <v>236</v>
      </c>
      <c r="D10" s="9">
        <v>-10000</v>
      </c>
      <c r="E10" s="99">
        <v>-26000</v>
      </c>
      <c r="F10" s="9">
        <v>-42000</v>
      </c>
      <c r="G10" s="9">
        <v>-58000</v>
      </c>
      <c r="H10" s="9">
        <v>0</v>
      </c>
    </row>
    <row r="11" spans="1:9" ht="15" customHeight="1" x14ac:dyDescent="0.3">
      <c r="A11" s="65" t="s">
        <v>198</v>
      </c>
      <c r="B11" s="8" t="s">
        <v>78</v>
      </c>
      <c r="C11" s="8" t="s">
        <v>237</v>
      </c>
      <c r="D11" s="9">
        <v>50000</v>
      </c>
      <c r="E11" s="99">
        <v>50000</v>
      </c>
      <c r="F11" s="9">
        <v>50000</v>
      </c>
      <c r="G11" s="9">
        <v>50000</v>
      </c>
      <c r="H11" s="9">
        <v>0</v>
      </c>
    </row>
    <row r="12" spans="1:9" ht="15" customHeight="1" x14ac:dyDescent="0.3">
      <c r="A12" s="65" t="s">
        <v>198</v>
      </c>
      <c r="B12" s="8" t="s">
        <v>238</v>
      </c>
      <c r="C12" s="8" t="s">
        <v>239</v>
      </c>
      <c r="D12" s="9">
        <v>27500</v>
      </c>
      <c r="E12" s="99">
        <v>27500</v>
      </c>
      <c r="F12" s="9">
        <v>27500</v>
      </c>
      <c r="G12" s="9">
        <v>39500</v>
      </c>
      <c r="H12" s="9">
        <v>0</v>
      </c>
    </row>
    <row r="13" spans="1:9" ht="15" customHeight="1" x14ac:dyDescent="0.3">
      <c r="A13" s="65" t="s">
        <v>198</v>
      </c>
      <c r="B13" s="8" t="s">
        <v>240</v>
      </c>
      <c r="C13" s="8" t="s">
        <v>241</v>
      </c>
      <c r="D13" s="9">
        <v>8500</v>
      </c>
      <c r="E13" s="99">
        <v>8500</v>
      </c>
      <c r="F13" s="9">
        <v>18500</v>
      </c>
      <c r="G13" s="9">
        <v>18500</v>
      </c>
      <c r="H13" s="9">
        <v>0</v>
      </c>
    </row>
    <row r="14" spans="1:9" ht="15" customHeight="1" x14ac:dyDescent="0.3">
      <c r="A14" s="65" t="s">
        <v>198</v>
      </c>
      <c r="B14" s="8" t="s">
        <v>242</v>
      </c>
      <c r="C14" s="8" t="s">
        <v>243</v>
      </c>
      <c r="D14" s="9">
        <v>-10000</v>
      </c>
      <c r="E14" s="99">
        <v>-15000</v>
      </c>
      <c r="F14" s="9">
        <v>-20000</v>
      </c>
      <c r="G14" s="9">
        <v>-50000</v>
      </c>
      <c r="H14" s="9">
        <v>0</v>
      </c>
    </row>
    <row r="15" spans="1:9" ht="15" customHeight="1" x14ac:dyDescent="0.3">
      <c r="A15" s="65" t="s">
        <v>198</v>
      </c>
      <c r="B15" s="8" t="s">
        <v>244</v>
      </c>
      <c r="C15" s="8" t="s">
        <v>245</v>
      </c>
      <c r="D15" s="9">
        <v>-2500</v>
      </c>
      <c r="E15" s="99">
        <v>-5000</v>
      </c>
      <c r="F15" s="9">
        <v>-7500</v>
      </c>
      <c r="G15" s="9">
        <v>-11450</v>
      </c>
      <c r="H15" s="9">
        <v>0</v>
      </c>
    </row>
    <row r="16" spans="1:9" ht="15" customHeight="1" x14ac:dyDescent="0.3">
      <c r="A16" s="65" t="s">
        <v>198</v>
      </c>
      <c r="B16" s="8" t="s">
        <v>246</v>
      </c>
      <c r="C16" s="8" t="s">
        <v>247</v>
      </c>
      <c r="D16" s="9">
        <v>0</v>
      </c>
      <c r="E16" s="99">
        <v>-4250</v>
      </c>
      <c r="F16" s="9">
        <v>-8950</v>
      </c>
      <c r="G16" s="9">
        <v>-13650</v>
      </c>
      <c r="H16" s="9">
        <v>0</v>
      </c>
    </row>
    <row r="17" spans="1:8" ht="15" customHeight="1" x14ac:dyDescent="0.3">
      <c r="A17" s="65" t="s">
        <v>103</v>
      </c>
      <c r="B17" s="8" t="s">
        <v>248</v>
      </c>
      <c r="C17" s="8" t="s">
        <v>16</v>
      </c>
      <c r="D17" s="9">
        <v>67500</v>
      </c>
      <c r="E17" s="99">
        <v>107500</v>
      </c>
      <c r="F17" s="9">
        <v>132500</v>
      </c>
      <c r="G17" s="9">
        <v>142500</v>
      </c>
      <c r="H17" s="9">
        <v>0</v>
      </c>
    </row>
    <row r="18" spans="1:8" ht="15" customHeight="1" x14ac:dyDescent="0.3">
      <c r="A18" s="65" t="s">
        <v>111</v>
      </c>
      <c r="B18" s="8" t="s">
        <v>87</v>
      </c>
      <c r="C18" s="8" t="s">
        <v>88</v>
      </c>
      <c r="D18" s="9">
        <v>1295</v>
      </c>
      <c r="E18" s="99">
        <v>3478</v>
      </c>
      <c r="F18" s="9">
        <v>2075</v>
      </c>
      <c r="G18" s="9">
        <v>2700</v>
      </c>
      <c r="H18" s="9">
        <v>0</v>
      </c>
    </row>
    <row r="19" spans="1:8" ht="15" customHeight="1" x14ac:dyDescent="0.3">
      <c r="A19" s="65" t="s">
        <v>112</v>
      </c>
      <c r="B19" s="8" t="s">
        <v>249</v>
      </c>
      <c r="C19" s="8" t="s">
        <v>250</v>
      </c>
      <c r="D19" s="9">
        <v>0</v>
      </c>
      <c r="E19" s="99">
        <v>-20435</v>
      </c>
      <c r="F19" s="9">
        <v>-115507</v>
      </c>
      <c r="G19" s="9">
        <v>-83600</v>
      </c>
      <c r="H19" s="9">
        <v>0</v>
      </c>
    </row>
    <row r="20" spans="1:8" ht="15" customHeight="1" x14ac:dyDescent="0.3">
      <c r="A20" s="65" t="s">
        <v>112</v>
      </c>
      <c r="B20" s="8" t="s">
        <v>251</v>
      </c>
      <c r="C20" s="8" t="s">
        <v>252</v>
      </c>
      <c r="D20" s="9">
        <v>142000</v>
      </c>
      <c r="E20" s="99">
        <v>15000</v>
      </c>
      <c r="F20" s="9">
        <v>33000</v>
      </c>
      <c r="G20" s="9">
        <v>47000</v>
      </c>
      <c r="H20" s="9">
        <v>0</v>
      </c>
    </row>
    <row r="21" spans="1:8" ht="15" customHeight="1" x14ac:dyDescent="0.3">
      <c r="A21" s="65" t="s">
        <v>102</v>
      </c>
      <c r="B21" s="8" t="s">
        <v>73</v>
      </c>
      <c r="C21" s="8" t="s">
        <v>74</v>
      </c>
      <c r="D21" s="9">
        <v>482456</v>
      </c>
      <c r="E21" s="99">
        <v>679044</v>
      </c>
      <c r="F21" s="9">
        <v>728381</v>
      </c>
      <c r="G21" s="9">
        <v>928788</v>
      </c>
      <c r="H21" s="9">
        <v>0</v>
      </c>
    </row>
    <row r="22" spans="1:8" ht="15" customHeight="1" x14ac:dyDescent="0.3">
      <c r="A22" s="65" t="s">
        <v>280</v>
      </c>
      <c r="B22" s="8" t="s">
        <v>217</v>
      </c>
      <c r="C22" s="8" t="s">
        <v>253</v>
      </c>
      <c r="D22" s="9">
        <v>13200</v>
      </c>
      <c r="E22" s="99">
        <v>42190</v>
      </c>
      <c r="F22" s="9">
        <v>45478</v>
      </c>
      <c r="G22" s="9">
        <v>56760</v>
      </c>
      <c r="H22" s="9">
        <v>0</v>
      </c>
    </row>
    <row r="23" spans="1:8" ht="15" customHeight="1" x14ac:dyDescent="0.3">
      <c r="A23" s="65" t="s">
        <v>199</v>
      </c>
      <c r="B23" s="8" t="s">
        <v>75</v>
      </c>
      <c r="C23" s="8" t="s">
        <v>254</v>
      </c>
      <c r="D23" s="9">
        <v>22500</v>
      </c>
      <c r="E23" s="99">
        <v>32892</v>
      </c>
      <c r="F23" s="9">
        <v>36450</v>
      </c>
      <c r="G23" s="9">
        <v>42600</v>
      </c>
      <c r="H23" s="9">
        <v>0</v>
      </c>
    </row>
    <row r="24" spans="1:8" ht="15" customHeight="1" x14ac:dyDescent="0.3">
      <c r="A24" s="65" t="s">
        <v>199</v>
      </c>
      <c r="B24" s="8" t="s">
        <v>255</v>
      </c>
      <c r="C24" s="8" t="s">
        <v>256</v>
      </c>
      <c r="D24" s="9">
        <v>0</v>
      </c>
      <c r="E24" s="99">
        <v>1800</v>
      </c>
      <c r="F24" s="9">
        <v>900</v>
      </c>
      <c r="G24" s="9">
        <v>1140</v>
      </c>
      <c r="H24" s="9">
        <v>0</v>
      </c>
    </row>
    <row r="25" spans="1:8" ht="15" customHeight="1" x14ac:dyDescent="0.3">
      <c r="A25" s="65" t="s">
        <v>199</v>
      </c>
      <c r="B25" s="8" t="s">
        <v>257</v>
      </c>
      <c r="C25" s="8" t="s">
        <v>258</v>
      </c>
      <c r="D25" s="9">
        <v>8650</v>
      </c>
      <c r="E25" s="99">
        <v>10358</v>
      </c>
      <c r="F25" s="9">
        <v>10570</v>
      </c>
      <c r="G25" s="9">
        <v>13640</v>
      </c>
      <c r="H25" s="9">
        <v>0</v>
      </c>
    </row>
    <row r="26" spans="1:8" ht="15" customHeight="1" x14ac:dyDescent="0.3">
      <c r="A26" s="65" t="s">
        <v>107</v>
      </c>
      <c r="B26" s="8" t="s">
        <v>85</v>
      </c>
      <c r="C26" s="8" t="s">
        <v>86</v>
      </c>
      <c r="D26" s="9">
        <v>-280547</v>
      </c>
      <c r="E26" s="9">
        <v>-335190</v>
      </c>
      <c r="F26" s="9">
        <v>-348520</v>
      </c>
      <c r="G26" s="9">
        <v>-275030</v>
      </c>
      <c r="H26" s="9">
        <v>0</v>
      </c>
    </row>
    <row r="27" spans="1:8" ht="15" customHeight="1" x14ac:dyDescent="0.3">
      <c r="A27" s="65" t="s">
        <v>281</v>
      </c>
      <c r="B27" s="8" t="s">
        <v>259</v>
      </c>
      <c r="C27" s="8" t="s">
        <v>260</v>
      </c>
      <c r="D27" s="9">
        <v>-45635</v>
      </c>
      <c r="E27" s="9">
        <v>-55000</v>
      </c>
      <c r="F27" s="9">
        <v>-67000</v>
      </c>
      <c r="G27" s="9">
        <v>-79500</v>
      </c>
      <c r="H27" s="9">
        <v>0</v>
      </c>
    </row>
    <row r="28" spans="1:8" ht="15" customHeight="1" x14ac:dyDescent="0.3">
      <c r="A28" s="65" t="s">
        <v>108</v>
      </c>
      <c r="B28" s="8" t="s">
        <v>261</v>
      </c>
      <c r="C28" s="8" t="s">
        <v>218</v>
      </c>
      <c r="D28" s="9">
        <v>-180</v>
      </c>
      <c r="E28" s="9">
        <v>0</v>
      </c>
      <c r="F28" s="9">
        <v>-1200</v>
      </c>
      <c r="G28" s="9">
        <v>-2000</v>
      </c>
      <c r="H28" s="9">
        <v>0</v>
      </c>
    </row>
    <row r="29" spans="1:8" ht="15" customHeight="1" x14ac:dyDescent="0.3">
      <c r="A29" s="65" t="s">
        <v>109</v>
      </c>
      <c r="B29" s="8" t="s">
        <v>262</v>
      </c>
      <c r="C29" s="8" t="s">
        <v>263</v>
      </c>
      <c r="D29" s="9">
        <v>-89420</v>
      </c>
      <c r="E29" s="9">
        <v>-173211</v>
      </c>
      <c r="F29" s="9">
        <v>-190316</v>
      </c>
      <c r="G29" s="9">
        <v>-271647</v>
      </c>
      <c r="H29" s="9">
        <v>0</v>
      </c>
    </row>
    <row r="30" spans="1:8" ht="15" customHeight="1" x14ac:dyDescent="0.3">
      <c r="A30" s="65" t="s">
        <v>110</v>
      </c>
      <c r="B30" s="8" t="s">
        <v>264</v>
      </c>
      <c r="C30" s="8" t="s">
        <v>219</v>
      </c>
      <c r="D30" s="9">
        <v>-40000</v>
      </c>
      <c r="E30" s="9">
        <v>-80000</v>
      </c>
      <c r="F30" s="9">
        <v>-100000</v>
      </c>
      <c r="G30" s="9">
        <v>-150000</v>
      </c>
      <c r="H30" s="9">
        <v>0</v>
      </c>
    </row>
    <row r="31" spans="1:8" ht="15" customHeight="1" x14ac:dyDescent="0.3">
      <c r="A31" s="65" t="s">
        <v>113</v>
      </c>
      <c r="B31" s="8" t="s">
        <v>265</v>
      </c>
      <c r="C31" s="8" t="s">
        <v>266</v>
      </c>
      <c r="D31" s="9">
        <v>-102400</v>
      </c>
      <c r="E31" s="9">
        <v>-211637</v>
      </c>
      <c r="F31" s="9">
        <v>-214870</v>
      </c>
      <c r="G31" s="9">
        <v>-214823</v>
      </c>
      <c r="H31" s="9">
        <v>0</v>
      </c>
    </row>
    <row r="32" spans="1:8" ht="15" customHeight="1" x14ac:dyDescent="0.3">
      <c r="A32" s="65" t="s">
        <v>105</v>
      </c>
      <c r="B32" s="8" t="s">
        <v>80</v>
      </c>
      <c r="C32" s="8" t="s">
        <v>81</v>
      </c>
      <c r="D32" s="9">
        <v>-150000</v>
      </c>
      <c r="E32" s="9">
        <v>-250000</v>
      </c>
      <c r="F32" s="9">
        <v>-260000</v>
      </c>
      <c r="G32" s="9">
        <v>-250000</v>
      </c>
      <c r="H32" s="9">
        <v>0</v>
      </c>
    </row>
    <row r="33" spans="1:8" ht="15" customHeight="1" x14ac:dyDescent="0.3">
      <c r="A33" s="65" t="s">
        <v>106</v>
      </c>
      <c r="B33" s="8" t="s">
        <v>267</v>
      </c>
      <c r="C33" s="8" t="s">
        <v>268</v>
      </c>
      <c r="D33" s="9">
        <v>0</v>
      </c>
      <c r="E33" s="9">
        <v>-82931</v>
      </c>
      <c r="F33" s="9">
        <v>-64508</v>
      </c>
      <c r="G33" s="9">
        <v>-44624</v>
      </c>
      <c r="H33" s="9">
        <v>0</v>
      </c>
    </row>
    <row r="34" spans="1:8" ht="15" customHeight="1" x14ac:dyDescent="0.3">
      <c r="A34" s="65" t="s">
        <v>104</v>
      </c>
      <c r="B34" s="8" t="s">
        <v>79</v>
      </c>
      <c r="C34" s="8" t="s">
        <v>269</v>
      </c>
      <c r="D34" s="9">
        <v>0</v>
      </c>
      <c r="E34" s="9">
        <v>2155</v>
      </c>
      <c r="F34" s="9">
        <v>2912</v>
      </c>
      <c r="G34" s="9">
        <v>-4309</v>
      </c>
      <c r="H34" s="9">
        <v>0</v>
      </c>
    </row>
    <row r="35" spans="1:8" ht="15" customHeight="1" x14ac:dyDescent="0.3">
      <c r="A35" s="65" t="s">
        <v>114</v>
      </c>
      <c r="B35" s="8" t="s">
        <v>270</v>
      </c>
      <c r="C35" s="8" t="s">
        <v>23</v>
      </c>
      <c r="D35" s="9">
        <v>-30000</v>
      </c>
      <c r="E35" s="9">
        <v>-30000</v>
      </c>
      <c r="F35" s="9">
        <v>-40000</v>
      </c>
      <c r="G35" s="9">
        <v>-45000</v>
      </c>
      <c r="H35" s="9">
        <v>0</v>
      </c>
    </row>
    <row r="36" spans="1:8" ht="15" customHeight="1" x14ac:dyDescent="0.3">
      <c r="A36" s="65" t="s">
        <v>115</v>
      </c>
      <c r="B36" s="8" t="s">
        <v>271</v>
      </c>
      <c r="C36" s="8" t="s">
        <v>272</v>
      </c>
      <c r="D36" s="9">
        <v>-1756159</v>
      </c>
      <c r="E36" s="9">
        <v>-1756159</v>
      </c>
      <c r="F36" s="9">
        <v>-2003765</v>
      </c>
      <c r="G36" s="9">
        <v>-2171350</v>
      </c>
      <c r="H36" s="9">
        <v>0</v>
      </c>
    </row>
    <row r="37" spans="1:8" ht="15" customHeight="1" x14ac:dyDescent="0.3">
      <c r="A37" s="65" t="s">
        <v>92</v>
      </c>
      <c r="B37" s="8" t="s">
        <v>57</v>
      </c>
      <c r="C37" s="8" t="s">
        <v>273</v>
      </c>
      <c r="D37" s="9">
        <v>0</v>
      </c>
      <c r="E37" s="9">
        <v>-4920788</v>
      </c>
      <c r="F37" s="9">
        <v>-5688650</v>
      </c>
      <c r="G37" s="9">
        <v>-6743544</v>
      </c>
      <c r="H37" s="9">
        <v>0</v>
      </c>
    </row>
    <row r="38" spans="1:8" ht="15" customHeight="1" x14ac:dyDescent="0.3">
      <c r="A38" s="65" t="s">
        <v>93</v>
      </c>
      <c r="B38" s="8" t="s">
        <v>274</v>
      </c>
      <c r="C38" s="8" t="s">
        <v>275</v>
      </c>
      <c r="D38" s="9">
        <v>0</v>
      </c>
      <c r="E38" s="9">
        <v>-100000</v>
      </c>
      <c r="F38" s="9">
        <v>-120000</v>
      </c>
      <c r="G38" s="9">
        <v>-120000</v>
      </c>
      <c r="H38" s="9">
        <v>0</v>
      </c>
    </row>
    <row r="39" spans="1:8" ht="15" customHeight="1" x14ac:dyDescent="0.3">
      <c r="A39" s="65" t="s">
        <v>216</v>
      </c>
      <c r="B39" s="8" t="s">
        <v>276</v>
      </c>
      <c r="C39" s="8" t="s">
        <v>215</v>
      </c>
      <c r="D39" s="9">
        <v>0</v>
      </c>
      <c r="E39" s="9">
        <v>-19846</v>
      </c>
      <c r="F39" s="9">
        <v>-14385</v>
      </c>
      <c r="G39" s="9">
        <v>-22999</v>
      </c>
      <c r="H39" s="9">
        <v>0</v>
      </c>
    </row>
    <row r="40" spans="1:8" ht="15" customHeight="1" x14ac:dyDescent="0.3">
      <c r="A40" s="65" t="s">
        <v>213</v>
      </c>
      <c r="B40" s="8" t="s">
        <v>277</v>
      </c>
      <c r="C40" s="8" t="s">
        <v>212</v>
      </c>
      <c r="D40" s="9">
        <v>0</v>
      </c>
      <c r="E40" s="9">
        <v>-25000</v>
      </c>
      <c r="F40" s="9">
        <v>-25000</v>
      </c>
      <c r="G40" s="9">
        <v>-27000</v>
      </c>
      <c r="H40" s="9">
        <v>0</v>
      </c>
    </row>
    <row r="41" spans="1:8" ht="15" customHeight="1" x14ac:dyDescent="0.3">
      <c r="A41" s="65" t="s">
        <v>93</v>
      </c>
      <c r="B41" s="8" t="s">
        <v>278</v>
      </c>
      <c r="C41" s="8" t="s">
        <v>287</v>
      </c>
      <c r="D41" s="9">
        <v>0</v>
      </c>
      <c r="E41" s="9">
        <v>0</v>
      </c>
      <c r="F41" s="9">
        <v>0</v>
      </c>
      <c r="G41" s="9">
        <v>-61850</v>
      </c>
      <c r="H41" s="9">
        <v>0</v>
      </c>
    </row>
    <row r="42" spans="1:8" ht="15" customHeight="1" x14ac:dyDescent="0.3">
      <c r="A42" s="65" t="s">
        <v>94</v>
      </c>
      <c r="B42" s="8" t="s">
        <v>58</v>
      </c>
      <c r="C42" s="8" t="s">
        <v>279</v>
      </c>
      <c r="D42" s="9">
        <v>0</v>
      </c>
      <c r="E42" s="9">
        <v>3936840</v>
      </c>
      <c r="F42" s="9">
        <v>4709214</v>
      </c>
      <c r="G42" s="9">
        <v>5355770</v>
      </c>
      <c r="H42" s="9">
        <v>0</v>
      </c>
    </row>
    <row r="43" spans="1:8" ht="15" customHeight="1" x14ac:dyDescent="0.3">
      <c r="A43" s="65" t="s">
        <v>176</v>
      </c>
      <c r="B43" s="8" t="s">
        <v>61</v>
      </c>
      <c r="C43" s="8" t="s">
        <v>155</v>
      </c>
      <c r="D43" s="9">
        <v>0</v>
      </c>
      <c r="E43" s="9">
        <v>7566</v>
      </c>
      <c r="F43" s="9">
        <v>7944</v>
      </c>
      <c r="G43" s="9">
        <v>8421</v>
      </c>
      <c r="H43" s="9">
        <v>0</v>
      </c>
    </row>
    <row r="44" spans="1:8" ht="15" customHeight="1" x14ac:dyDescent="0.3">
      <c r="A44" s="65" t="s">
        <v>182</v>
      </c>
      <c r="B44" s="8" t="s">
        <v>62</v>
      </c>
      <c r="C44" s="8" t="s">
        <v>67</v>
      </c>
      <c r="D44" s="9">
        <v>0</v>
      </c>
      <c r="E44" s="9">
        <v>12295</v>
      </c>
      <c r="F44" s="9">
        <v>12910</v>
      </c>
      <c r="G44" s="9">
        <v>13684</v>
      </c>
      <c r="H44" s="9">
        <v>0</v>
      </c>
    </row>
    <row r="45" spans="1:8" ht="15" customHeight="1" x14ac:dyDescent="0.3">
      <c r="A45" s="65" t="s">
        <v>177</v>
      </c>
      <c r="B45" s="8" t="s">
        <v>63</v>
      </c>
      <c r="C45" s="8" t="s">
        <v>156</v>
      </c>
      <c r="D45" s="9">
        <v>0</v>
      </c>
      <c r="E45" s="9">
        <v>473</v>
      </c>
      <c r="F45" s="9">
        <v>497</v>
      </c>
      <c r="G45" s="9">
        <v>526</v>
      </c>
      <c r="H45" s="9">
        <v>0</v>
      </c>
    </row>
    <row r="46" spans="1:8" ht="15" customHeight="1" x14ac:dyDescent="0.3">
      <c r="A46" s="65" t="s">
        <v>178</v>
      </c>
      <c r="B46" s="8" t="s">
        <v>137</v>
      </c>
      <c r="C46" s="8" t="s">
        <v>157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</row>
    <row r="47" spans="1:8" ht="15" customHeight="1" x14ac:dyDescent="0.3">
      <c r="A47" s="65" t="s">
        <v>179</v>
      </c>
      <c r="B47" s="8" t="s">
        <v>138</v>
      </c>
      <c r="C47" s="8" t="s">
        <v>158</v>
      </c>
      <c r="D47" s="9">
        <v>0</v>
      </c>
      <c r="E47" s="9">
        <v>1119</v>
      </c>
      <c r="F47" s="9">
        <v>1175</v>
      </c>
      <c r="G47" s="9">
        <v>1246</v>
      </c>
      <c r="H47" s="9">
        <v>0</v>
      </c>
    </row>
    <row r="48" spans="1:8" ht="15" customHeight="1" x14ac:dyDescent="0.3">
      <c r="A48" s="65" t="s">
        <v>180</v>
      </c>
      <c r="B48" s="8" t="s">
        <v>139</v>
      </c>
      <c r="C48" s="8" t="s">
        <v>159</v>
      </c>
      <c r="D48" s="9">
        <v>0</v>
      </c>
      <c r="E48" s="9">
        <v>303</v>
      </c>
      <c r="F48" s="9">
        <v>318</v>
      </c>
      <c r="G48" s="9">
        <v>337</v>
      </c>
      <c r="H48" s="9">
        <v>0</v>
      </c>
    </row>
    <row r="49" spans="1:8" ht="15" customHeight="1" x14ac:dyDescent="0.3">
      <c r="A49" s="65" t="s">
        <v>183</v>
      </c>
      <c r="B49" s="8" t="s">
        <v>140</v>
      </c>
      <c r="C49" s="8" t="s">
        <v>160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1:8" ht="15" customHeight="1" x14ac:dyDescent="0.3">
      <c r="A50" s="65" t="s">
        <v>184</v>
      </c>
      <c r="B50" s="8" t="s">
        <v>141</v>
      </c>
      <c r="C50" s="8" t="s">
        <v>161</v>
      </c>
      <c r="D50" s="9">
        <v>0</v>
      </c>
      <c r="E50" s="9">
        <v>3058</v>
      </c>
      <c r="F50" s="9">
        <v>3211</v>
      </c>
      <c r="G50" s="9">
        <v>3404</v>
      </c>
      <c r="H50" s="9">
        <v>0</v>
      </c>
    </row>
    <row r="51" spans="1:8" ht="15" customHeight="1" x14ac:dyDescent="0.3">
      <c r="A51" s="65" t="s">
        <v>185</v>
      </c>
      <c r="B51" s="8" t="s">
        <v>142</v>
      </c>
      <c r="C51" s="8" t="s">
        <v>162</v>
      </c>
      <c r="D51" s="9">
        <v>0</v>
      </c>
      <c r="E51" s="9">
        <v>1259</v>
      </c>
      <c r="F51" s="9">
        <v>1322</v>
      </c>
      <c r="G51" s="9">
        <v>1402</v>
      </c>
      <c r="H51" s="9">
        <v>0</v>
      </c>
    </row>
    <row r="52" spans="1:8" ht="15" customHeight="1" x14ac:dyDescent="0.3">
      <c r="A52" s="65" t="s">
        <v>186</v>
      </c>
      <c r="B52" s="8" t="s">
        <v>143</v>
      </c>
      <c r="C52" s="8" t="s">
        <v>163</v>
      </c>
      <c r="D52" s="9">
        <v>0</v>
      </c>
      <c r="E52" s="9">
        <v>75660</v>
      </c>
      <c r="F52" s="9">
        <v>79444</v>
      </c>
      <c r="G52" s="9">
        <v>84210</v>
      </c>
      <c r="H52" s="9">
        <v>0</v>
      </c>
    </row>
    <row r="53" spans="1:8" ht="15" customHeight="1" x14ac:dyDescent="0.3">
      <c r="A53" s="65" t="s">
        <v>187</v>
      </c>
      <c r="B53" s="8" t="s">
        <v>144</v>
      </c>
      <c r="C53" s="8" t="s">
        <v>164</v>
      </c>
      <c r="D53" s="9">
        <v>0</v>
      </c>
      <c r="E53" s="9">
        <v>79</v>
      </c>
      <c r="F53" s="9">
        <v>69</v>
      </c>
      <c r="G53" s="9">
        <v>621</v>
      </c>
      <c r="H53" s="9">
        <v>0</v>
      </c>
    </row>
    <row r="54" spans="1:8" ht="15" customHeight="1" x14ac:dyDescent="0.3">
      <c r="A54" s="65" t="s">
        <v>188</v>
      </c>
      <c r="B54" s="8" t="s">
        <v>145</v>
      </c>
      <c r="C54" s="8" t="s">
        <v>165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8" ht="15" customHeight="1" x14ac:dyDescent="0.3">
      <c r="A55" s="65" t="s">
        <v>189</v>
      </c>
      <c r="B55" s="8" t="s">
        <v>146</v>
      </c>
      <c r="C55" s="8" t="s">
        <v>166</v>
      </c>
      <c r="D55" s="9">
        <v>0</v>
      </c>
      <c r="E55" s="9">
        <v>365200</v>
      </c>
      <c r="F55" s="9">
        <v>415000</v>
      </c>
      <c r="G55" s="9">
        <v>470000</v>
      </c>
      <c r="H55" s="9">
        <v>0</v>
      </c>
    </row>
    <row r="56" spans="1:8" ht="15" customHeight="1" x14ac:dyDescent="0.3">
      <c r="A56" s="65" t="s">
        <v>190</v>
      </c>
      <c r="B56" s="8" t="s">
        <v>147</v>
      </c>
      <c r="C56" s="8" t="s">
        <v>167</v>
      </c>
      <c r="D56" s="9">
        <v>0</v>
      </c>
      <c r="E56" s="9">
        <v>1161</v>
      </c>
      <c r="F56" s="9">
        <v>1218</v>
      </c>
      <c r="G56" s="9">
        <v>1292</v>
      </c>
      <c r="H56" s="9">
        <v>0</v>
      </c>
    </row>
    <row r="57" spans="1:8" ht="15" customHeight="1" x14ac:dyDescent="0.3">
      <c r="A57" s="65" t="s">
        <v>191</v>
      </c>
      <c r="B57" s="8" t="s">
        <v>148</v>
      </c>
      <c r="C57" s="8" t="s">
        <v>168</v>
      </c>
      <c r="D57" s="9">
        <v>0</v>
      </c>
      <c r="E57" s="9">
        <v>1303</v>
      </c>
      <c r="F57" s="9">
        <v>1368</v>
      </c>
      <c r="G57" s="9">
        <v>1450</v>
      </c>
      <c r="H57" s="9">
        <v>0</v>
      </c>
    </row>
    <row r="58" spans="1:8" ht="15" customHeight="1" x14ac:dyDescent="0.3">
      <c r="A58" s="65" t="s">
        <v>192</v>
      </c>
      <c r="B58" s="8" t="s">
        <v>149</v>
      </c>
      <c r="C58" s="8" t="s">
        <v>169</v>
      </c>
      <c r="D58" s="9">
        <v>0</v>
      </c>
      <c r="E58" s="9">
        <v>10965</v>
      </c>
      <c r="F58" s="9">
        <v>11514</v>
      </c>
      <c r="G58" s="9">
        <v>12204</v>
      </c>
      <c r="H58" s="9">
        <v>0</v>
      </c>
    </row>
    <row r="59" spans="1:8" ht="15" customHeight="1" x14ac:dyDescent="0.3">
      <c r="A59" s="65" t="s">
        <v>193</v>
      </c>
      <c r="B59" s="8" t="s">
        <v>150</v>
      </c>
      <c r="C59" s="8" t="s">
        <v>170</v>
      </c>
      <c r="D59" s="9">
        <v>0</v>
      </c>
      <c r="E59" s="9">
        <v>532</v>
      </c>
      <c r="F59" s="9">
        <v>559</v>
      </c>
      <c r="G59" s="9">
        <v>592</v>
      </c>
      <c r="H59" s="9">
        <v>0</v>
      </c>
    </row>
    <row r="60" spans="1:8" ht="15" customHeight="1" x14ac:dyDescent="0.3">
      <c r="A60" s="65" t="s">
        <v>194</v>
      </c>
      <c r="B60" s="8" t="s">
        <v>151</v>
      </c>
      <c r="C60" s="8" t="s">
        <v>171</v>
      </c>
      <c r="D60" s="9">
        <v>0</v>
      </c>
      <c r="E60" s="9">
        <v>3370</v>
      </c>
      <c r="F60" s="9">
        <v>3538</v>
      </c>
      <c r="G60" s="9">
        <v>3750</v>
      </c>
      <c r="H60" s="9">
        <v>0</v>
      </c>
    </row>
    <row r="61" spans="1:8" ht="15" customHeight="1" x14ac:dyDescent="0.3">
      <c r="A61" s="65" t="s">
        <v>195</v>
      </c>
      <c r="B61" s="8" t="s">
        <v>152</v>
      </c>
      <c r="C61" s="8" t="s">
        <v>172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 ht="15" customHeight="1" x14ac:dyDescent="0.3">
      <c r="A62" s="65" t="s">
        <v>181</v>
      </c>
      <c r="B62" s="8" t="s">
        <v>153</v>
      </c>
      <c r="C62" s="8" t="s">
        <v>173</v>
      </c>
      <c r="D62" s="9">
        <v>0</v>
      </c>
      <c r="E62" s="9">
        <v>91915</v>
      </c>
      <c r="F62" s="9">
        <v>91915</v>
      </c>
      <c r="G62" s="9">
        <v>95510</v>
      </c>
      <c r="H62" s="9">
        <v>0</v>
      </c>
    </row>
    <row r="63" spans="1:8" ht="15" customHeight="1" x14ac:dyDescent="0.3">
      <c r="A63" s="65" t="s">
        <v>284</v>
      </c>
      <c r="B63" s="8" t="s">
        <v>285</v>
      </c>
      <c r="C63" s="8" t="s">
        <v>286</v>
      </c>
      <c r="D63" s="9">
        <v>0</v>
      </c>
      <c r="E63" s="9">
        <v>11750</v>
      </c>
      <c r="F63" s="9">
        <v>12200</v>
      </c>
      <c r="G63" s="9">
        <v>38650</v>
      </c>
      <c r="H63" s="9">
        <v>0</v>
      </c>
    </row>
    <row r="64" spans="1:8" ht="15" customHeight="1" x14ac:dyDescent="0.3">
      <c r="A64" s="65" t="s">
        <v>99</v>
      </c>
      <c r="B64" s="8" t="s">
        <v>154</v>
      </c>
      <c r="C64" s="8" t="s">
        <v>69</v>
      </c>
      <c r="D64" s="9">
        <v>0</v>
      </c>
      <c r="E64" s="9">
        <v>45390</v>
      </c>
      <c r="F64" s="9">
        <v>36712</v>
      </c>
      <c r="G64" s="9">
        <v>26366</v>
      </c>
      <c r="H64" s="9">
        <v>0</v>
      </c>
    </row>
    <row r="65" spans="1:8" ht="15" customHeight="1" x14ac:dyDescent="0.3">
      <c r="A65" s="65" t="s">
        <v>100</v>
      </c>
      <c r="B65" s="8" t="s">
        <v>65</v>
      </c>
      <c r="C65" s="8" t="s">
        <v>174</v>
      </c>
      <c r="D65" s="9">
        <v>0</v>
      </c>
      <c r="E65" s="9">
        <v>167290</v>
      </c>
      <c r="F65" s="9">
        <v>189559</v>
      </c>
      <c r="G65" s="9">
        <v>278868</v>
      </c>
      <c r="H65" s="9">
        <v>0</v>
      </c>
    </row>
    <row r="66" spans="1:8" ht="15" customHeight="1" x14ac:dyDescent="0.3">
      <c r="A66" s="65" t="s">
        <v>101</v>
      </c>
      <c r="B66" s="8" t="s">
        <v>66</v>
      </c>
      <c r="C66" s="8" t="s">
        <v>70</v>
      </c>
      <c r="D66" s="9">
        <v>0</v>
      </c>
      <c r="E66" s="9">
        <v>80000</v>
      </c>
      <c r="F66" s="9">
        <v>100000</v>
      </c>
      <c r="G66" s="9">
        <v>150000</v>
      </c>
      <c r="H66" s="9">
        <v>0</v>
      </c>
    </row>
    <row r="67" spans="1:8" ht="15" customHeight="1" x14ac:dyDescent="0.3">
      <c r="A67" s="65" t="s">
        <v>289</v>
      </c>
      <c r="B67" s="8" t="s">
        <v>64</v>
      </c>
      <c r="C67" s="8" t="s">
        <v>68</v>
      </c>
      <c r="D67" s="9">
        <v>0</v>
      </c>
      <c r="E67" s="9">
        <v>500</v>
      </c>
      <c r="F67" s="9">
        <v>763</v>
      </c>
      <c r="G67" s="9">
        <v>1000</v>
      </c>
      <c r="H67" s="9">
        <v>0</v>
      </c>
    </row>
  </sheetData>
  <conditionalFormatting sqref="D3:G3">
    <cfRule type="expression" dxfId="14" priority="5" stopIfTrue="1">
      <formula>ROUND(D3,2)&lt;&gt;0</formula>
    </cfRule>
  </conditionalFormatting>
  <conditionalFormatting sqref="A5:A62 A64:A67">
    <cfRule type="expression" dxfId="13" priority="3" stopIfTrue="1">
      <formula>OR(ISBLANK(A5),ISNA(MATCH(A5,ISCode,0))=FALSE,ISNA(MATCH(A5,BSCode,0))=FALSE,ISNA(MATCH(A5,CFSCode,0))=FALSE)=FALSE</formula>
    </cfRule>
  </conditionalFormatting>
  <conditionalFormatting sqref="H3">
    <cfRule type="expression" dxfId="12" priority="2" stopIfTrue="1">
      <formula>ROUND(H3,2)&lt;&gt;0</formula>
    </cfRule>
  </conditionalFormatting>
  <conditionalFormatting sqref="A63">
    <cfRule type="expression" dxfId="11" priority="1" stopIfTrue="1">
      <formula>OR(ISBLANK(A63),ISNA(MATCH(A63,ISCode,0))=FALSE,ISNA(MATCH(A63,BSCode,0))=FALSE,ISNA(MATCH(A63,CFSCode,0))=FALSE)=FALSE</formula>
    </cfRule>
  </conditionalFormatting>
  <pageMargins left="0.51181102362204722" right="0.51181102362204722" top="0.55118110236220474" bottom="0.55118110236220474" header="0.39370078740157483" footer="0.39370078740157483"/>
  <pageSetup paperSize="9" fitToHeight="0" orientation="landscape" r:id="rId1"/>
  <headerFooter>
    <oddFooter>&amp;C&amp;9Page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abSelected="1" zoomScale="95" zoomScaleNormal="95" workbookViewId="0">
      <pane ySplit="4" topLeftCell="A5" activePane="bottomLeft" state="frozen"/>
      <selection pane="bottomLeft" activeCell="B4" sqref="B4"/>
    </sheetView>
  </sheetViews>
  <sheetFormatPr defaultColWidth="9.1328125" defaultRowHeight="15" customHeight="1" x14ac:dyDescent="0.35"/>
  <cols>
    <col min="1" max="1" width="8.73046875" style="16" customWidth="1"/>
    <col min="2" max="2" width="35.73046875" style="8" customWidth="1"/>
    <col min="3" max="5" width="14.73046875" style="29" customWidth="1"/>
    <col min="6" max="6" width="12.73046875" style="35" customWidth="1"/>
    <col min="7" max="7" width="2.73046875" customWidth="1"/>
    <col min="8" max="9" width="14.73046875" style="29" customWidth="1"/>
    <col min="10" max="10" width="12.73046875" style="35" customWidth="1"/>
    <col min="11" max="11" width="2.73046875" style="9" customWidth="1"/>
    <col min="12" max="14" width="14.73046875" style="2" customWidth="1"/>
    <col min="15" max="15" width="2.73046875" style="2" customWidth="1"/>
    <col min="16" max="18" width="14.73046875" style="2" customWidth="1"/>
    <col min="19" max="19" width="2.73046875" style="2" customWidth="1"/>
    <col min="20" max="22" width="14.73046875" style="2" customWidth="1"/>
    <col min="23" max="23" width="2.73046875" style="2" customWidth="1"/>
    <col min="24" max="16384" width="9.1328125" style="2"/>
  </cols>
  <sheetData>
    <row r="1" spans="1:11" x14ac:dyDescent="0.4">
      <c r="B1" s="7" t="str">
        <f>'Set-up'!$B$4</f>
        <v>Example Trading Limited</v>
      </c>
    </row>
    <row r="2" spans="1:11" ht="15.95" customHeight="1" x14ac:dyDescent="0.35">
      <c r="B2" s="50" t="str">
        <f ca="1">"Income statement for the period ended "&amp;TEXT('Set-up'!$B$10,"dd mmmm yyyy")</f>
        <v>Income statement for the period ended 28 February 2017</v>
      </c>
    </row>
    <row r="3" spans="1:11" s="22" customFormat="1" ht="15.95" customHeight="1" x14ac:dyDescent="0.35">
      <c r="A3" s="19"/>
      <c r="B3" s="20" t="s">
        <v>124</v>
      </c>
      <c r="C3"/>
      <c r="D3"/>
      <c r="E3"/>
      <c r="F3"/>
      <c r="G3"/>
      <c r="H3"/>
      <c r="I3"/>
      <c r="J3"/>
      <c r="K3" s="21"/>
    </row>
    <row r="4" spans="1:11" s="18" customFormat="1" ht="15.95" customHeight="1" x14ac:dyDescent="0.35">
      <c r="A4" s="63"/>
      <c r="B4" s="15"/>
      <c r="C4" s="54">
        <f ca="1">IF(ISBLANK('Set-up'!$B$8),YEAR(TODAY()),'Set-up'!$B$8)</f>
        <v>2017</v>
      </c>
      <c r="D4" s="54">
        <f ca="1">C4-1</f>
        <v>2016</v>
      </c>
      <c r="E4" s="54" t="s">
        <v>126</v>
      </c>
      <c r="F4" s="54" t="s">
        <v>127</v>
      </c>
      <c r="G4"/>
      <c r="H4" s="54">
        <f ca="1">D4-1</f>
        <v>2015</v>
      </c>
      <c r="I4" s="54" t="s">
        <v>126</v>
      </c>
      <c r="J4" s="54" t="s">
        <v>127</v>
      </c>
      <c r="K4" s="17"/>
    </row>
    <row r="5" spans="1:11" ht="15" customHeight="1" x14ac:dyDescent="0.35">
      <c r="A5" s="16" t="s">
        <v>92</v>
      </c>
      <c r="B5" s="69" t="s">
        <v>4</v>
      </c>
      <c r="C5" s="81">
        <f ca="1">-IF(ISNA(MATCH(C$4,TBMonths,0))=TRUE,0,SUMIF(TBAll,$A5&amp;"*",OFFSET(TB!$C$4,1,MATCH(C$4,TBMonths,0),TBRowCount,1)))</f>
        <v>6743544</v>
      </c>
      <c r="D5" s="30">
        <f ca="1">-IF(ISNA(MATCH(D$4,TBMonths,0))=TRUE,0,SUMIF(TBAll,$A5&amp;"*",OFFSET(TB!$C$4,1,MATCH(D$4,TBMonths,0),TBRowCount,1)))</f>
        <v>5688650</v>
      </c>
      <c r="E5" s="30">
        <f ca="1">C5-D5</f>
        <v>1054894</v>
      </c>
      <c r="F5" s="70">
        <f ca="1">IF(D5=0,IF(E5=0,0,-1),E5/ABS(D5))</f>
        <v>0.18543837290042453</v>
      </c>
      <c r="H5" s="80">
        <f ca="1">-IF(ISNA(MATCH(H$4,TBMonths,0))=TRUE,0,SUMIF(TBAll,$A5&amp;"*",OFFSET(TB!$C$4,1,MATCH(H$4,TBMonths,0),TBRowCount,1)))</f>
        <v>4920788</v>
      </c>
      <c r="I5" s="30">
        <f ca="1">D5-H5</f>
        <v>767862</v>
      </c>
      <c r="J5" s="70">
        <f ca="1">IF(H5=0,IF(I5=0,0,-1),I5/ABS(H5))</f>
        <v>0.1560445196988775</v>
      </c>
    </row>
    <row r="6" spans="1:11" ht="15" customHeight="1" x14ac:dyDescent="0.35">
      <c r="A6" s="16" t="s">
        <v>94</v>
      </c>
      <c r="B6" s="69" t="s">
        <v>117</v>
      </c>
      <c r="C6" s="80">
        <f ca="1">IF(ISNA(MATCH(C$4,TBMonths,0))=TRUE,0,SUMIF(TBAll,$A6&amp;"*",OFFSET(TB!$C$4,1,MATCH(C$4,TBMonths,0),TBRowCount,1)))</f>
        <v>5355770</v>
      </c>
      <c r="D6" s="30">
        <f ca="1">IF(ISNA(MATCH(D$4,TBMonths,0))=TRUE,0,SUMIF(TBAll,$A6&amp;"*",OFFSET(TB!$C$4,1,MATCH(D$4,TBMonths,0),TBRowCount,1)))</f>
        <v>4709214</v>
      </c>
      <c r="E6" s="30">
        <f ca="1">D6-C6</f>
        <v>-646556</v>
      </c>
      <c r="F6" s="70">
        <f t="shared" ref="F6:F7" ca="1" si="0">IF(D6=0,IF(E6=0,0,-1),E6/ABS(D6))</f>
        <v>-0.13729594790128458</v>
      </c>
      <c r="H6" s="80">
        <f ca="1">IF(ISNA(MATCH(H$4,TBMonths,0))=TRUE,0,SUMIF(TBAll,$A6&amp;"*",OFFSET(TB!$C$4,1,MATCH(H$4,TBMonths,0),TBRowCount,1)))</f>
        <v>3936840</v>
      </c>
      <c r="I6" s="30">
        <f ca="1">H6-D6</f>
        <v>-772374</v>
      </c>
      <c r="J6" s="70">
        <f t="shared" ref="J6:J7" ca="1" si="1">IF(H6=0,IF(I6=0,0,-1),I6/ABS(H6))</f>
        <v>-0.19619136159965861</v>
      </c>
    </row>
    <row r="7" spans="1:11" ht="15" customHeight="1" x14ac:dyDescent="0.35">
      <c r="B7" s="69" t="s">
        <v>116</v>
      </c>
      <c r="C7" s="81">
        <f ca="1">SUM(C5,-C6)</f>
        <v>1387774</v>
      </c>
      <c r="D7" s="31">
        <f ca="1">SUM(D5,-D6)</f>
        <v>979436</v>
      </c>
      <c r="E7" s="31">
        <f ca="1">SUM(E5:E6)</f>
        <v>408338</v>
      </c>
      <c r="F7" s="71">
        <f t="shared" ca="1" si="0"/>
        <v>0.41691136531636575</v>
      </c>
      <c r="H7" s="81">
        <f ca="1">SUM(H5,-H6)</f>
        <v>983948</v>
      </c>
      <c r="I7" s="31">
        <f ca="1">SUM(I5:I6)</f>
        <v>-4512</v>
      </c>
      <c r="J7" s="71">
        <f t="shared" ca="1" si="1"/>
        <v>-4.5856081825462322E-3</v>
      </c>
    </row>
    <row r="8" spans="1:11" s="24" customFormat="1" ht="15" customHeight="1" x14ac:dyDescent="0.35">
      <c r="A8" s="23"/>
      <c r="B8" s="72" t="s">
        <v>128</v>
      </c>
      <c r="C8" s="82">
        <f ca="1">IF(C5=0,0,C7/C5)</f>
        <v>0.20579297769837343</v>
      </c>
      <c r="D8" s="37">
        <f ca="1">IF(D5=0,0,D7/D5)</f>
        <v>0.17217371432589454</v>
      </c>
      <c r="E8" s="37">
        <f ca="1">D8-C8</f>
        <v>-3.3619263372478891E-2</v>
      </c>
      <c r="F8" s="73"/>
      <c r="G8"/>
      <c r="H8" s="82">
        <f ca="1">IF(H5=0,0,H7/H5)</f>
        <v>0.19995740519607835</v>
      </c>
      <c r="I8" s="37">
        <f ca="1">H8-F8</f>
        <v>0.19995740519607835</v>
      </c>
      <c r="J8" s="73"/>
    </row>
    <row r="9" spans="1:11" ht="15" customHeight="1" x14ac:dyDescent="0.35">
      <c r="A9" s="16" t="s">
        <v>93</v>
      </c>
      <c r="B9" s="69" t="s">
        <v>5</v>
      </c>
      <c r="C9" s="80">
        <f ca="1">-IF(ISNA(MATCH(C$4,TBMonths,0))=TRUE,0,SUMIF(TBAll,$A9&amp;"*",OFFSET(TB!$C$4,1,MATCH(C$4,TBMonths,0),TBRowCount,1)))</f>
        <v>231849</v>
      </c>
      <c r="D9" s="30">
        <f ca="1">-IF(ISNA(MATCH(D$4,TBMonths,0))=TRUE,0,SUMIF(TBAll,$A9&amp;"*",OFFSET(TB!$C$4,1,MATCH(D$4,TBMonths,0),TBRowCount,1)))</f>
        <v>159385</v>
      </c>
      <c r="E9" s="30">
        <f ca="1">C9-D9</f>
        <v>72464</v>
      </c>
      <c r="F9" s="70">
        <f t="shared" ref="F9:F40" ca="1" si="2">IF(D9=0,IF(E9=0,0,-1),E9/ABS(D9))</f>
        <v>0.45464755152617875</v>
      </c>
      <c r="H9" s="80">
        <f ca="1">-IF(ISNA(MATCH(H$4,TBMonths,0))=TRUE,0,SUMIF(TBAll,$A9&amp;"*",OFFSET(TB!$C$4,1,MATCH(H$4,TBMonths,0),TBRowCount,1)))</f>
        <v>144846</v>
      </c>
      <c r="I9" s="30">
        <f ca="1">D9-H9</f>
        <v>14539</v>
      </c>
      <c r="J9" s="70">
        <f t="shared" ref="J9:J40" ca="1" si="3">IF(H9=0,IF(I9=0,0,-1),I9/ABS(H9))</f>
        <v>0.10037557129641136</v>
      </c>
    </row>
    <row r="10" spans="1:11" ht="15" customHeight="1" x14ac:dyDescent="0.35">
      <c r="B10" s="69" t="s">
        <v>129</v>
      </c>
      <c r="C10" s="80">
        <f ca="1">SUM(OFFSET($B$10,1,COLUMN(C4)-COLUMN($B4),ROW($B$33)-ROW($B$10)-1,1))</f>
        <v>738299</v>
      </c>
      <c r="D10" s="30">
        <f ca="1">SUM(OFFSET($B$10,1,COLUMN(D4)-COLUMN($B4),ROW($B$33)-ROW($B$10)-1,1))</f>
        <v>644965</v>
      </c>
      <c r="E10" s="30">
        <f ca="1">SUM(OFFSET($B$10,1,COLUMN(E4)-COLUMN($B4),ROW($B$33)-ROW($B$10)-1,1))</f>
        <v>-93334</v>
      </c>
      <c r="F10" s="70">
        <f t="shared" ca="1" si="2"/>
        <v>-0.14471172854340933</v>
      </c>
      <c r="H10" s="80">
        <f ca="1">SUM(OFFSET($B$10,1,COLUMN(H4)-COLUMN($B4),ROW($B$33)-ROW($B$10)-1,1))</f>
        <v>588508</v>
      </c>
      <c r="I10" s="30">
        <f ca="1">SUM(OFFSET($B$10,1,COLUMN(I4)-COLUMN($B4),ROW($B$33)-ROW($B$10)-1,1))</f>
        <v>-56457</v>
      </c>
      <c r="J10" s="70">
        <f t="shared" ca="1" si="3"/>
        <v>-9.5932425727432769E-2</v>
      </c>
    </row>
    <row r="11" spans="1:11" ht="15" customHeight="1" x14ac:dyDescent="0.35">
      <c r="A11" s="16" t="s">
        <v>176</v>
      </c>
      <c r="B11" s="69" t="str">
        <f ca="1">IF(ISNA(VLOOKUP($A11,TBAll,COLUMN(TB!$C$4),0))=TRUE,"error!",VLOOKUP($A11,TBAll,COLUMN(TB!$C$4),0))</f>
        <v>Accounting Fees</v>
      </c>
      <c r="C11" s="83">
        <f ca="1">IF(ISNA(MATCH(C$4,TBMonths,0))=TRUE,0,SUMIF(TBAll,$A11&amp;"*",OFFSET(TB!$C$4,1,MATCH(C$4,TBMonths,0),TBRowCount,1)))</f>
        <v>8421</v>
      </c>
      <c r="D11" s="32">
        <f ca="1">IF(ISNA(MATCH(D$4,TBMonths,0))=TRUE,0,SUMIF(TBAll,$A11&amp;"*",OFFSET(TB!$C$4,1,MATCH(D$4,TBMonths,0),TBRowCount,1)))</f>
        <v>7944</v>
      </c>
      <c r="E11" s="32">
        <f t="shared" ref="E11:E32" ca="1" si="4">D11-C11</f>
        <v>-477</v>
      </c>
      <c r="F11" s="74">
        <f t="shared" ca="1" si="2"/>
        <v>-6.0045317220543806E-2</v>
      </c>
      <c r="H11" s="83">
        <f ca="1">IF(ISNA(MATCH(H$4,TBMonths,0))=TRUE,0,SUMIF(TBAll,$A11&amp;"*",OFFSET(TB!$C$4,1,MATCH(H$4,TBMonths,0),TBRowCount,1)))</f>
        <v>7566</v>
      </c>
      <c r="I11" s="32">
        <f t="shared" ref="I11:I32" ca="1" si="5">H11-D11</f>
        <v>-378</v>
      </c>
      <c r="J11" s="74">
        <f t="shared" ca="1" si="3"/>
        <v>-4.9960348929421097E-2</v>
      </c>
    </row>
    <row r="12" spans="1:11" ht="15" customHeight="1" x14ac:dyDescent="0.35">
      <c r="A12" s="16" t="s">
        <v>182</v>
      </c>
      <c r="B12" s="69" t="str">
        <f ca="1">IF(ISNA(VLOOKUP($A12,TBAll,COLUMN(TB!$C$4),0))=TRUE,"error!",VLOOKUP($A12,TBAll,COLUMN(TB!$C$4),0))</f>
        <v>Advertising &amp; Marketing</v>
      </c>
      <c r="C12" s="84">
        <f ca="1">IF(ISNA(MATCH(C$4,TBMonths,0))=TRUE,0,SUMIF(TBAll,$A12&amp;"*",OFFSET(TB!$C$4,1,MATCH(C$4,TBMonths,0),TBRowCount,1)))</f>
        <v>13684</v>
      </c>
      <c r="D12" s="33">
        <f ca="1">IF(ISNA(MATCH(D$4,TBMonths,0))=TRUE,0,SUMIF(TBAll,$A12&amp;"*",OFFSET(TB!$C$4,1,MATCH(D$4,TBMonths,0),TBRowCount,1)))</f>
        <v>12910</v>
      </c>
      <c r="E12" s="33">
        <f t="shared" ca="1" si="4"/>
        <v>-774</v>
      </c>
      <c r="F12" s="75">
        <f t="shared" ca="1" si="2"/>
        <v>-5.9953524399690164E-2</v>
      </c>
      <c r="H12" s="84">
        <f ca="1">IF(ISNA(MATCH(H$4,TBMonths,0))=TRUE,0,SUMIF(TBAll,$A12&amp;"*",OFFSET(TB!$C$4,1,MATCH(H$4,TBMonths,0),TBRowCount,1)))</f>
        <v>12295</v>
      </c>
      <c r="I12" s="33">
        <f t="shared" ca="1" si="5"/>
        <v>-615</v>
      </c>
      <c r="J12" s="75">
        <f t="shared" ca="1" si="3"/>
        <v>-5.0020333468889795E-2</v>
      </c>
    </row>
    <row r="13" spans="1:11" ht="15" customHeight="1" x14ac:dyDescent="0.35">
      <c r="A13" s="16" t="s">
        <v>284</v>
      </c>
      <c r="B13" s="69" t="str">
        <f ca="1">IF(ISNA(VLOOKUP($A13,TBAll,COLUMN(TB!$C$4),0))=TRUE,"error!",VLOOKUP($A13,TBAll,COLUMN(TB!$C$4),0))</f>
        <v>Amortization</v>
      </c>
      <c r="C13" s="84">
        <f ca="1">IF(ISNA(MATCH(C$4,TBMonths,0))=TRUE,0,SUMIF(TBAll,$A13&amp;"*",OFFSET(TB!$C$4,1,MATCH(C$4,TBMonths,0),TBRowCount,1)))</f>
        <v>38650</v>
      </c>
      <c r="D13" s="33">
        <f ca="1">IF(ISNA(MATCH(D$4,TBMonths,0))=TRUE,0,SUMIF(TBAll,$A13&amp;"*",OFFSET(TB!$C$4,1,MATCH(D$4,TBMonths,0),TBRowCount,1)))</f>
        <v>12200</v>
      </c>
      <c r="E13" s="33">
        <f t="shared" ref="E13" ca="1" si="6">D13-C13</f>
        <v>-26450</v>
      </c>
      <c r="F13" s="75">
        <f t="shared" ref="F13" ca="1" si="7">IF(D13=0,IF(E13=0,0,-1),E13/ABS(D13))</f>
        <v>-2.168032786885246</v>
      </c>
      <c r="H13" s="84">
        <f ca="1">IF(ISNA(MATCH(H$4,TBMonths,0))=TRUE,0,SUMIF(TBAll,$A13&amp;"*",OFFSET(TB!$C$4,1,MATCH(H$4,TBMonths,0),TBRowCount,1)))</f>
        <v>11750</v>
      </c>
      <c r="I13" s="33">
        <f t="shared" ref="I13" ca="1" si="8">H13-D13</f>
        <v>-450</v>
      </c>
      <c r="J13" s="75">
        <f t="shared" ref="J13" ca="1" si="9">IF(H13=0,IF(I13=0,0,-1),I13/ABS(H13))</f>
        <v>-3.8297872340425532E-2</v>
      </c>
    </row>
    <row r="14" spans="1:11" ht="15" customHeight="1" x14ac:dyDescent="0.35">
      <c r="A14" s="16" t="s">
        <v>177</v>
      </c>
      <c r="B14" s="69" t="str">
        <f ca="1">IF(ISNA(VLOOKUP($A14,TBAll,COLUMN(TB!$C$4),0))=TRUE,"error!",VLOOKUP($A14,TBAll,COLUMN(TB!$C$4),0))</f>
        <v>Bank Charges</v>
      </c>
      <c r="C14" s="84">
        <f ca="1">IF(ISNA(MATCH(C$4,TBMonths,0))=TRUE,0,SUMIF(TBAll,$A14&amp;"*",OFFSET(TB!$C$4,1,MATCH(C$4,TBMonths,0),TBRowCount,1)))</f>
        <v>526</v>
      </c>
      <c r="D14" s="33">
        <f ca="1">IF(ISNA(MATCH(D$4,TBMonths,0))=TRUE,0,SUMIF(TBAll,$A14&amp;"*",OFFSET(TB!$C$4,1,MATCH(D$4,TBMonths,0),TBRowCount,1)))</f>
        <v>497</v>
      </c>
      <c r="E14" s="33">
        <f t="shared" ca="1" si="4"/>
        <v>-29</v>
      </c>
      <c r="F14" s="75">
        <f t="shared" ca="1" si="2"/>
        <v>-5.8350100603621731E-2</v>
      </c>
      <c r="H14" s="84">
        <f ca="1">IF(ISNA(MATCH(H$4,TBMonths,0))=TRUE,0,SUMIF(TBAll,$A14&amp;"*",OFFSET(TB!$C$4,1,MATCH(H$4,TBMonths,0),TBRowCount,1)))</f>
        <v>473</v>
      </c>
      <c r="I14" s="33">
        <f t="shared" ca="1" si="5"/>
        <v>-24</v>
      </c>
      <c r="J14" s="75">
        <f t="shared" ca="1" si="3"/>
        <v>-5.0739957716701901E-2</v>
      </c>
    </row>
    <row r="15" spans="1:11" ht="15" customHeight="1" x14ac:dyDescent="0.35">
      <c r="A15" s="16" t="s">
        <v>178</v>
      </c>
      <c r="B15" s="69" t="str">
        <f ca="1">IF(ISNA(VLOOKUP($A15,TBAll,COLUMN(TB!$C$4),0))=TRUE,"error!",VLOOKUP($A15,TBAll,COLUMN(TB!$C$4),0))</f>
        <v>Commission</v>
      </c>
      <c r="C15" s="84">
        <f ca="1">IF(ISNA(MATCH(C$4,TBMonths,0))=TRUE,0,SUMIF(TBAll,$A15&amp;"*",OFFSET(TB!$C$4,1,MATCH(C$4,TBMonths,0),TBRowCount,1)))</f>
        <v>0</v>
      </c>
      <c r="D15" s="33">
        <f ca="1">IF(ISNA(MATCH(D$4,TBMonths,0))=TRUE,0,SUMIF(TBAll,$A15&amp;"*",OFFSET(TB!$C$4,1,MATCH(D$4,TBMonths,0),TBRowCount,1)))</f>
        <v>0</v>
      </c>
      <c r="E15" s="33">
        <f t="shared" ca="1" si="4"/>
        <v>0</v>
      </c>
      <c r="F15" s="75">
        <f t="shared" ca="1" si="2"/>
        <v>0</v>
      </c>
      <c r="H15" s="84">
        <f ca="1">IF(ISNA(MATCH(H$4,TBMonths,0))=TRUE,0,SUMIF(TBAll,$A15&amp;"*",OFFSET(TB!$C$4,1,MATCH(H$4,TBMonths,0),TBRowCount,1)))</f>
        <v>0</v>
      </c>
      <c r="I15" s="33">
        <f t="shared" ca="1" si="5"/>
        <v>0</v>
      </c>
      <c r="J15" s="75">
        <f t="shared" ca="1" si="3"/>
        <v>0</v>
      </c>
    </row>
    <row r="16" spans="1:11" ht="15" customHeight="1" x14ac:dyDescent="0.35">
      <c r="A16" s="16" t="s">
        <v>179</v>
      </c>
      <c r="B16" s="69" t="str">
        <f ca="1">IF(ISNA(VLOOKUP($A16,TBAll,COLUMN(TB!$C$4),0))=TRUE,"error!",VLOOKUP($A16,TBAll,COLUMN(TB!$C$4),0))</f>
        <v>Computer Expenses</v>
      </c>
      <c r="C16" s="84">
        <f ca="1">IF(ISNA(MATCH(C$4,TBMonths,0))=TRUE,0,SUMIF(TBAll,$A16&amp;"*",OFFSET(TB!$C$4,1,MATCH(C$4,TBMonths,0),TBRowCount,1)))</f>
        <v>1246</v>
      </c>
      <c r="D16" s="33">
        <f ca="1">IF(ISNA(MATCH(D$4,TBMonths,0))=TRUE,0,SUMIF(TBAll,$A16&amp;"*",OFFSET(TB!$C$4,1,MATCH(D$4,TBMonths,0),TBRowCount,1)))</f>
        <v>1175</v>
      </c>
      <c r="E16" s="33">
        <f t="shared" ca="1" si="4"/>
        <v>-71</v>
      </c>
      <c r="F16" s="75">
        <f t="shared" ca="1" si="2"/>
        <v>-6.0425531914893617E-2</v>
      </c>
      <c r="H16" s="84">
        <f ca="1">IF(ISNA(MATCH(H$4,TBMonths,0))=TRUE,0,SUMIF(TBAll,$A16&amp;"*",OFFSET(TB!$C$4,1,MATCH(H$4,TBMonths,0),TBRowCount,1)))</f>
        <v>1119</v>
      </c>
      <c r="I16" s="33">
        <f t="shared" ca="1" si="5"/>
        <v>-56</v>
      </c>
      <c r="J16" s="75">
        <f t="shared" ca="1" si="3"/>
        <v>-5.0044682752457555E-2</v>
      </c>
    </row>
    <row r="17" spans="1:10" ht="15" customHeight="1" x14ac:dyDescent="0.35">
      <c r="A17" s="16" t="s">
        <v>180</v>
      </c>
      <c r="B17" s="69" t="str">
        <f ca="1">IF(ISNA(VLOOKUP($A17,TBAll,COLUMN(TB!$C$4),0))=TRUE,"error!",VLOOKUP($A17,TBAll,COLUMN(TB!$C$4),0))</f>
        <v>Consumables &amp; Cleaning</v>
      </c>
      <c r="C17" s="84">
        <f ca="1">IF(ISNA(MATCH(C$4,TBMonths,0))=TRUE,0,SUMIF(TBAll,$A17&amp;"*",OFFSET(TB!$C$4,1,MATCH(C$4,TBMonths,0),TBRowCount,1)))</f>
        <v>337</v>
      </c>
      <c r="D17" s="33">
        <f ca="1">IF(ISNA(MATCH(D$4,TBMonths,0))=TRUE,0,SUMIF(TBAll,$A17&amp;"*",OFFSET(TB!$C$4,1,MATCH(D$4,TBMonths,0),TBRowCount,1)))</f>
        <v>318</v>
      </c>
      <c r="E17" s="33">
        <f t="shared" ca="1" si="4"/>
        <v>-19</v>
      </c>
      <c r="F17" s="75">
        <f t="shared" ca="1" si="2"/>
        <v>-5.9748427672955975E-2</v>
      </c>
      <c r="H17" s="84">
        <f ca="1">IF(ISNA(MATCH(H$4,TBMonths,0))=TRUE,0,SUMIF(TBAll,$A17&amp;"*",OFFSET(TB!$C$4,1,MATCH(H$4,TBMonths,0),TBRowCount,1)))</f>
        <v>303</v>
      </c>
      <c r="I17" s="33">
        <f t="shared" ca="1" si="5"/>
        <v>-15</v>
      </c>
      <c r="J17" s="75">
        <f t="shared" ca="1" si="3"/>
        <v>-4.9504950495049507E-2</v>
      </c>
    </row>
    <row r="18" spans="1:10" ht="15" customHeight="1" x14ac:dyDescent="0.35">
      <c r="A18" s="16" t="s">
        <v>181</v>
      </c>
      <c r="B18" s="69" t="str">
        <f ca="1">IF(ISNA(VLOOKUP($A18,TBAll,COLUMN(TB!$C$4),0))=TRUE,"error!",VLOOKUP($A18,TBAll,COLUMN(TB!$C$4),0))</f>
        <v>Depreciation</v>
      </c>
      <c r="C18" s="84">
        <f ca="1">IF(ISNA(MATCH(C$4,TBMonths,0))=TRUE,0,SUMIF(TBAll,$A18&amp;"*",OFFSET(TB!$C$4,1,MATCH(C$4,TBMonths,0),TBRowCount,1)))</f>
        <v>95510</v>
      </c>
      <c r="D18" s="33">
        <f ca="1">IF(ISNA(MATCH(D$4,TBMonths,0))=TRUE,0,SUMIF(TBAll,$A18&amp;"*",OFFSET(TB!$C$4,1,MATCH(D$4,TBMonths,0),TBRowCount,1)))</f>
        <v>91915</v>
      </c>
      <c r="E18" s="33">
        <f t="shared" ca="1" si="4"/>
        <v>-3595</v>
      </c>
      <c r="F18" s="75">
        <f t="shared" ca="1" si="2"/>
        <v>-3.9112223249741611E-2</v>
      </c>
      <c r="H18" s="84">
        <f ca="1">IF(ISNA(MATCH(H$4,TBMonths,0))=TRUE,0,SUMIF(TBAll,$A18&amp;"*",OFFSET(TB!$C$4,1,MATCH(H$4,TBMonths,0),TBRowCount,1)))</f>
        <v>91915</v>
      </c>
      <c r="I18" s="33">
        <f t="shared" ca="1" si="5"/>
        <v>0</v>
      </c>
      <c r="J18" s="75">
        <f t="shared" ca="1" si="3"/>
        <v>0</v>
      </c>
    </row>
    <row r="19" spans="1:10" ht="15" customHeight="1" x14ac:dyDescent="0.35">
      <c r="A19" s="16" t="s">
        <v>183</v>
      </c>
      <c r="B19" s="69" t="str">
        <f ca="1">IF(ISNA(VLOOKUP($A19,TBAll,COLUMN(TB!$C$4),0))=TRUE,"error!",VLOOKUP($A19,TBAll,COLUMN(TB!$C$4),0))</f>
        <v>Entertainment</v>
      </c>
      <c r="C19" s="84">
        <f ca="1">IF(ISNA(MATCH(C$4,TBMonths,0))=TRUE,0,SUMIF(TBAll,$A19&amp;"*",OFFSET(TB!$C$4,1,MATCH(C$4,TBMonths,0),TBRowCount,1)))</f>
        <v>0</v>
      </c>
      <c r="D19" s="33">
        <f ca="1">IF(ISNA(MATCH(D$4,TBMonths,0))=TRUE,0,SUMIF(TBAll,$A19&amp;"*",OFFSET(TB!$C$4,1,MATCH(D$4,TBMonths,0),TBRowCount,1)))</f>
        <v>0</v>
      </c>
      <c r="E19" s="33">
        <f t="shared" ca="1" si="4"/>
        <v>0</v>
      </c>
      <c r="F19" s="75">
        <f t="shared" ca="1" si="2"/>
        <v>0</v>
      </c>
      <c r="H19" s="84">
        <f ca="1">IF(ISNA(MATCH(H$4,TBMonths,0))=TRUE,0,SUMIF(TBAll,$A19&amp;"*",OFFSET(TB!$C$4,1,MATCH(H$4,TBMonths,0),TBRowCount,1)))</f>
        <v>0</v>
      </c>
      <c r="I19" s="33">
        <f t="shared" ca="1" si="5"/>
        <v>0</v>
      </c>
      <c r="J19" s="75">
        <f t="shared" ca="1" si="3"/>
        <v>0</v>
      </c>
    </row>
    <row r="20" spans="1:10" ht="15" customHeight="1" x14ac:dyDescent="0.35">
      <c r="A20" s="16" t="s">
        <v>184</v>
      </c>
      <c r="B20" s="69" t="str">
        <f ca="1">IF(ISNA(VLOOKUP($A20,TBAll,COLUMN(TB!$C$4),0))=TRUE,"error!",VLOOKUP($A20,TBAll,COLUMN(TB!$C$4),0))</f>
        <v>Insurance</v>
      </c>
      <c r="C20" s="84">
        <f ca="1">IF(ISNA(MATCH(C$4,TBMonths,0))=TRUE,0,SUMIF(TBAll,$A20&amp;"*",OFFSET(TB!$C$4,1,MATCH(C$4,TBMonths,0),TBRowCount,1)))</f>
        <v>3404</v>
      </c>
      <c r="D20" s="33">
        <f ca="1">IF(ISNA(MATCH(D$4,TBMonths,0))=TRUE,0,SUMIF(TBAll,$A20&amp;"*",OFFSET(TB!$C$4,1,MATCH(D$4,TBMonths,0),TBRowCount,1)))</f>
        <v>3211</v>
      </c>
      <c r="E20" s="33">
        <f t="shared" ca="1" si="4"/>
        <v>-193</v>
      </c>
      <c r="F20" s="75">
        <f t="shared" ca="1" si="2"/>
        <v>-6.0105886016817191E-2</v>
      </c>
      <c r="H20" s="84">
        <f ca="1">IF(ISNA(MATCH(H$4,TBMonths,0))=TRUE,0,SUMIF(TBAll,$A20&amp;"*",OFFSET(TB!$C$4,1,MATCH(H$4,TBMonths,0),TBRowCount,1)))</f>
        <v>3058</v>
      </c>
      <c r="I20" s="33">
        <f t="shared" ca="1" si="5"/>
        <v>-153</v>
      </c>
      <c r="J20" s="75">
        <f t="shared" ca="1" si="3"/>
        <v>-5.0032701111837802E-2</v>
      </c>
    </row>
    <row r="21" spans="1:10" ht="15" customHeight="1" x14ac:dyDescent="0.35">
      <c r="A21" s="16" t="s">
        <v>185</v>
      </c>
      <c r="B21" s="69" t="str">
        <f ca="1">IF(ISNA(VLOOKUP($A21,TBAll,COLUMN(TB!$C$4),0))=TRUE,"error!",VLOOKUP($A21,TBAll,COLUMN(TB!$C$4),0))</f>
        <v>Office Expenses</v>
      </c>
      <c r="C21" s="84">
        <f ca="1">IF(ISNA(MATCH(C$4,TBMonths,0))=TRUE,0,SUMIF(TBAll,$A21&amp;"*",OFFSET(TB!$C$4,1,MATCH(C$4,TBMonths,0),TBRowCount,1)))</f>
        <v>1402</v>
      </c>
      <c r="D21" s="33">
        <f ca="1">IF(ISNA(MATCH(D$4,TBMonths,0))=TRUE,0,SUMIF(TBAll,$A21&amp;"*",OFFSET(TB!$C$4,1,MATCH(D$4,TBMonths,0),TBRowCount,1)))</f>
        <v>1322</v>
      </c>
      <c r="E21" s="33">
        <f t="shared" ca="1" si="4"/>
        <v>-80</v>
      </c>
      <c r="F21" s="75">
        <f t="shared" ca="1" si="2"/>
        <v>-6.0514372163388806E-2</v>
      </c>
      <c r="H21" s="84">
        <f ca="1">IF(ISNA(MATCH(H$4,TBMonths,0))=TRUE,0,SUMIF(TBAll,$A21&amp;"*",OFFSET(TB!$C$4,1,MATCH(H$4,TBMonths,0),TBRowCount,1)))</f>
        <v>1259</v>
      </c>
      <c r="I21" s="33">
        <f t="shared" ca="1" si="5"/>
        <v>-63</v>
      </c>
      <c r="J21" s="75">
        <f t="shared" ca="1" si="3"/>
        <v>-5.0039714058776809E-2</v>
      </c>
    </row>
    <row r="22" spans="1:10" ht="15" customHeight="1" x14ac:dyDescent="0.35">
      <c r="A22" s="16" t="s">
        <v>186</v>
      </c>
      <c r="B22" s="69" t="str">
        <f ca="1">IF(ISNA(VLOOKUP($A22,TBAll,COLUMN(TB!$C$4),0))=TRUE,"error!",VLOOKUP($A22,TBAll,COLUMN(TB!$C$4),0))</f>
        <v>Office Rent</v>
      </c>
      <c r="C22" s="84">
        <f ca="1">IF(ISNA(MATCH(C$4,TBMonths,0))=TRUE,0,SUMIF(TBAll,$A22&amp;"*",OFFSET(TB!$C$4,1,MATCH(C$4,TBMonths,0),TBRowCount,1)))</f>
        <v>84210</v>
      </c>
      <c r="D22" s="33">
        <f ca="1">IF(ISNA(MATCH(D$4,TBMonths,0))=TRUE,0,SUMIF(TBAll,$A22&amp;"*",OFFSET(TB!$C$4,1,MATCH(D$4,TBMonths,0),TBRowCount,1)))</f>
        <v>79444</v>
      </c>
      <c r="E22" s="33">
        <f t="shared" ca="1" si="4"/>
        <v>-4766</v>
      </c>
      <c r="F22" s="75">
        <f t="shared" ca="1" si="2"/>
        <v>-5.9991944010875584E-2</v>
      </c>
      <c r="H22" s="84">
        <f ca="1">IF(ISNA(MATCH(H$4,TBMonths,0))=TRUE,0,SUMIF(TBAll,$A22&amp;"*",OFFSET(TB!$C$4,1,MATCH(H$4,TBMonths,0),TBRowCount,1)))</f>
        <v>75660</v>
      </c>
      <c r="I22" s="33">
        <f t="shared" ca="1" si="5"/>
        <v>-3784</v>
      </c>
      <c r="J22" s="75">
        <f t="shared" ca="1" si="3"/>
        <v>-5.0013217023526305E-2</v>
      </c>
    </row>
    <row r="23" spans="1:10" ht="15" customHeight="1" x14ac:dyDescent="0.35">
      <c r="A23" s="16" t="s">
        <v>187</v>
      </c>
      <c r="B23" s="69" t="str">
        <f ca="1">IF(ISNA(VLOOKUP($A23,TBAll,COLUMN(TB!$C$4),0))=TRUE,"error!",VLOOKUP($A23,TBAll,COLUMN(TB!$C$4),0))</f>
        <v>Postage</v>
      </c>
      <c r="C23" s="84">
        <f ca="1">IF(ISNA(MATCH(C$4,TBMonths,0))=TRUE,0,SUMIF(TBAll,$A23&amp;"*",OFFSET(TB!$C$4,1,MATCH(C$4,TBMonths,0),TBRowCount,1)))</f>
        <v>621</v>
      </c>
      <c r="D23" s="33">
        <f ca="1">IF(ISNA(MATCH(D$4,TBMonths,0))=TRUE,0,SUMIF(TBAll,$A23&amp;"*",OFFSET(TB!$C$4,1,MATCH(D$4,TBMonths,0),TBRowCount,1)))</f>
        <v>69</v>
      </c>
      <c r="E23" s="33">
        <f t="shared" ca="1" si="4"/>
        <v>-552</v>
      </c>
      <c r="F23" s="75">
        <f t="shared" ca="1" si="2"/>
        <v>-8</v>
      </c>
      <c r="H23" s="84">
        <f ca="1">IF(ISNA(MATCH(H$4,TBMonths,0))=TRUE,0,SUMIF(TBAll,$A23&amp;"*",OFFSET(TB!$C$4,1,MATCH(H$4,TBMonths,0),TBRowCount,1)))</f>
        <v>79</v>
      </c>
      <c r="I23" s="33">
        <f t="shared" ca="1" si="5"/>
        <v>10</v>
      </c>
      <c r="J23" s="75">
        <f t="shared" ca="1" si="3"/>
        <v>0.12658227848101267</v>
      </c>
    </row>
    <row r="24" spans="1:10" ht="15" customHeight="1" x14ac:dyDescent="0.35">
      <c r="A24" s="16" t="s">
        <v>188</v>
      </c>
      <c r="B24" s="69" t="str">
        <f ca="1">IF(ISNA(VLOOKUP($A24,TBAll,COLUMN(TB!$C$4),0))=TRUE,"error!",VLOOKUP($A24,TBAll,COLUMN(TB!$C$4),0))</f>
        <v>Professional &amp; Legal Fees</v>
      </c>
      <c r="C24" s="84">
        <f ca="1">IF(ISNA(MATCH(C$4,TBMonths,0))=TRUE,0,SUMIF(TBAll,$A24&amp;"*",OFFSET(TB!$C$4,1,MATCH(C$4,TBMonths,0),TBRowCount,1)))</f>
        <v>0</v>
      </c>
      <c r="D24" s="33">
        <f ca="1">IF(ISNA(MATCH(D$4,TBMonths,0))=TRUE,0,SUMIF(TBAll,$A24&amp;"*",OFFSET(TB!$C$4,1,MATCH(D$4,TBMonths,0),TBRowCount,1)))</f>
        <v>0</v>
      </c>
      <c r="E24" s="33">
        <f t="shared" ca="1" si="4"/>
        <v>0</v>
      </c>
      <c r="F24" s="75">
        <f t="shared" ca="1" si="2"/>
        <v>0</v>
      </c>
      <c r="H24" s="84">
        <f ca="1">IF(ISNA(MATCH(H$4,TBMonths,0))=TRUE,0,SUMIF(TBAll,$A24&amp;"*",OFFSET(TB!$C$4,1,MATCH(H$4,TBMonths,0),TBRowCount,1)))</f>
        <v>0</v>
      </c>
      <c r="I24" s="33">
        <f t="shared" ca="1" si="5"/>
        <v>0</v>
      </c>
      <c r="J24" s="75">
        <f t="shared" ca="1" si="3"/>
        <v>0</v>
      </c>
    </row>
    <row r="25" spans="1:10" ht="15" customHeight="1" x14ac:dyDescent="0.35">
      <c r="A25" s="16" t="s">
        <v>189</v>
      </c>
      <c r="B25" s="69" t="str">
        <f ca="1">IF(ISNA(VLOOKUP($A25,TBAll,COLUMN(TB!$C$4),0))=TRUE,"error!",VLOOKUP($A25,TBAll,COLUMN(TB!$C$4),0))</f>
        <v>Salaries &amp; Wages</v>
      </c>
      <c r="C25" s="84">
        <f ca="1">IF(ISNA(MATCH(C$4,TBMonths,0))=TRUE,0,SUMIF(TBAll,$A25&amp;"*",OFFSET(TB!$C$4,1,MATCH(C$4,TBMonths,0),TBRowCount,1)))</f>
        <v>470000</v>
      </c>
      <c r="D25" s="33">
        <f ca="1">IF(ISNA(MATCH(D$4,TBMonths,0))=TRUE,0,SUMIF(TBAll,$A25&amp;"*",OFFSET(TB!$C$4,1,MATCH(D$4,TBMonths,0),TBRowCount,1)))</f>
        <v>415000</v>
      </c>
      <c r="E25" s="33">
        <f t="shared" ca="1" si="4"/>
        <v>-55000</v>
      </c>
      <c r="F25" s="75">
        <f t="shared" ca="1" si="2"/>
        <v>-0.13253012048192772</v>
      </c>
      <c r="H25" s="84">
        <f ca="1">IF(ISNA(MATCH(H$4,TBMonths,0))=TRUE,0,SUMIF(TBAll,$A25&amp;"*",OFFSET(TB!$C$4,1,MATCH(H$4,TBMonths,0),TBRowCount,1)))</f>
        <v>365200</v>
      </c>
      <c r="I25" s="33">
        <f t="shared" ca="1" si="5"/>
        <v>-49800</v>
      </c>
      <c r="J25" s="75">
        <f t="shared" ca="1" si="3"/>
        <v>-0.13636363636363635</v>
      </c>
    </row>
    <row r="26" spans="1:10" ht="15" customHeight="1" x14ac:dyDescent="0.35">
      <c r="A26" s="16" t="s">
        <v>190</v>
      </c>
      <c r="B26" s="69" t="str">
        <f ca="1">IF(ISNA(VLOOKUP($A26,TBAll,COLUMN(TB!$C$4),0))=TRUE,"error!",VLOOKUP($A26,TBAll,COLUMN(TB!$C$4),0))</f>
        <v>Stationery</v>
      </c>
      <c r="C26" s="84">
        <f ca="1">IF(ISNA(MATCH(C$4,TBMonths,0))=TRUE,0,SUMIF(TBAll,$A26&amp;"*",OFFSET(TB!$C$4,1,MATCH(C$4,TBMonths,0),TBRowCount,1)))</f>
        <v>1292</v>
      </c>
      <c r="D26" s="33">
        <f ca="1">IF(ISNA(MATCH(D$4,TBMonths,0))=TRUE,0,SUMIF(TBAll,$A26&amp;"*",OFFSET(TB!$C$4,1,MATCH(D$4,TBMonths,0),TBRowCount,1)))</f>
        <v>1218</v>
      </c>
      <c r="E26" s="33">
        <f t="shared" ca="1" si="4"/>
        <v>-74</v>
      </c>
      <c r="F26" s="75">
        <f t="shared" ca="1" si="2"/>
        <v>-6.0755336617405585E-2</v>
      </c>
      <c r="H26" s="84">
        <f ca="1">IF(ISNA(MATCH(H$4,TBMonths,0))=TRUE,0,SUMIF(TBAll,$A26&amp;"*",OFFSET(TB!$C$4,1,MATCH(H$4,TBMonths,0),TBRowCount,1)))</f>
        <v>1161</v>
      </c>
      <c r="I26" s="33">
        <f t="shared" ca="1" si="5"/>
        <v>-57</v>
      </c>
      <c r="J26" s="75">
        <f t="shared" ca="1" si="3"/>
        <v>-4.909560723514212E-2</v>
      </c>
    </row>
    <row r="27" spans="1:10" ht="15" customHeight="1" x14ac:dyDescent="0.35">
      <c r="A27" s="16" t="s">
        <v>191</v>
      </c>
      <c r="B27" s="69" t="str">
        <f ca="1">IF(ISNA(VLOOKUP($A27,TBAll,COLUMN(TB!$C$4),0))=TRUE,"error!",VLOOKUP($A27,TBAll,COLUMN(TB!$C$4),0))</f>
        <v>Subscriptions &amp; Memberships</v>
      </c>
      <c r="C27" s="84">
        <f ca="1">IF(ISNA(MATCH(C$4,TBMonths,0))=TRUE,0,SUMIF(TBAll,$A27&amp;"*",OFFSET(TB!$C$4,1,MATCH(C$4,TBMonths,0),TBRowCount,1)))</f>
        <v>1450</v>
      </c>
      <c r="D27" s="33">
        <f ca="1">IF(ISNA(MATCH(D$4,TBMonths,0))=TRUE,0,SUMIF(TBAll,$A27&amp;"*",OFFSET(TB!$C$4,1,MATCH(D$4,TBMonths,0),TBRowCount,1)))</f>
        <v>1368</v>
      </c>
      <c r="E27" s="33">
        <f t="shared" ca="1" si="4"/>
        <v>-82</v>
      </c>
      <c r="F27" s="75">
        <f t="shared" ca="1" si="2"/>
        <v>-5.9941520467836254E-2</v>
      </c>
      <c r="H27" s="84">
        <f ca="1">IF(ISNA(MATCH(H$4,TBMonths,0))=TRUE,0,SUMIF(TBAll,$A27&amp;"*",OFFSET(TB!$C$4,1,MATCH(H$4,TBMonths,0),TBRowCount,1)))</f>
        <v>1303</v>
      </c>
      <c r="I27" s="33">
        <f t="shared" ca="1" si="5"/>
        <v>-65</v>
      </c>
      <c r="J27" s="75">
        <f t="shared" ca="1" si="3"/>
        <v>-4.9884881043745201E-2</v>
      </c>
    </row>
    <row r="28" spans="1:10" ht="15" customHeight="1" x14ac:dyDescent="0.35">
      <c r="A28" s="16" t="s">
        <v>192</v>
      </c>
      <c r="B28" s="69" t="str">
        <f ca="1">IF(ISNA(VLOOKUP($A28,TBAll,COLUMN(TB!$C$4),0))=TRUE,"error!",VLOOKUP($A28,TBAll,COLUMN(TB!$C$4),0))</f>
        <v>Telephone &amp; Internet</v>
      </c>
      <c r="C28" s="84">
        <f ca="1">IF(ISNA(MATCH(C$4,TBMonths,0))=TRUE,0,SUMIF(TBAll,$A28&amp;"*",OFFSET(TB!$C$4,1,MATCH(C$4,TBMonths,0),TBRowCount,1)))</f>
        <v>12204</v>
      </c>
      <c r="D28" s="33">
        <f ca="1">IF(ISNA(MATCH(D$4,TBMonths,0))=TRUE,0,SUMIF(TBAll,$A28&amp;"*",OFFSET(TB!$C$4,1,MATCH(D$4,TBMonths,0),TBRowCount,1)))</f>
        <v>11514</v>
      </c>
      <c r="E28" s="33">
        <f t="shared" ca="1" si="4"/>
        <v>-690</v>
      </c>
      <c r="F28" s="75">
        <f t="shared" ca="1" si="2"/>
        <v>-5.992704533611256E-2</v>
      </c>
      <c r="H28" s="84">
        <f ca="1">IF(ISNA(MATCH(H$4,TBMonths,0))=TRUE,0,SUMIF(TBAll,$A28&amp;"*",OFFSET(TB!$C$4,1,MATCH(H$4,TBMonths,0),TBRowCount,1)))</f>
        <v>10965</v>
      </c>
      <c r="I28" s="33">
        <f t="shared" ca="1" si="5"/>
        <v>-549</v>
      </c>
      <c r="J28" s="75">
        <f t="shared" ca="1" si="3"/>
        <v>-5.0068399452804377E-2</v>
      </c>
    </row>
    <row r="29" spans="1:10" ht="15" customHeight="1" x14ac:dyDescent="0.35">
      <c r="A29" s="16" t="s">
        <v>193</v>
      </c>
      <c r="B29" s="69" t="str">
        <f ca="1">IF(ISNA(VLOOKUP($A29,TBAll,COLUMN(TB!$C$4),0))=TRUE,"error!",VLOOKUP($A29,TBAll,COLUMN(TB!$C$4),0))</f>
        <v>Training</v>
      </c>
      <c r="C29" s="84">
        <f ca="1">IF(ISNA(MATCH(C$4,TBMonths,0))=TRUE,0,SUMIF(TBAll,$A29&amp;"*",OFFSET(TB!$C$4,1,MATCH(C$4,TBMonths,0),TBRowCount,1)))</f>
        <v>592</v>
      </c>
      <c r="D29" s="33">
        <f ca="1">IF(ISNA(MATCH(D$4,TBMonths,0))=TRUE,0,SUMIF(TBAll,$A29&amp;"*",OFFSET(TB!$C$4,1,MATCH(D$4,TBMonths,0),TBRowCount,1)))</f>
        <v>559</v>
      </c>
      <c r="E29" s="33">
        <f t="shared" ca="1" si="4"/>
        <v>-33</v>
      </c>
      <c r="F29" s="75">
        <f t="shared" ca="1" si="2"/>
        <v>-5.9033989266547404E-2</v>
      </c>
      <c r="H29" s="84">
        <f ca="1">IF(ISNA(MATCH(H$4,TBMonths,0))=TRUE,0,SUMIF(TBAll,$A29&amp;"*",OFFSET(TB!$C$4,1,MATCH(H$4,TBMonths,0),TBRowCount,1)))</f>
        <v>532</v>
      </c>
      <c r="I29" s="33">
        <f t="shared" ca="1" si="5"/>
        <v>-27</v>
      </c>
      <c r="J29" s="75">
        <f t="shared" ca="1" si="3"/>
        <v>-5.0751879699248117E-2</v>
      </c>
    </row>
    <row r="30" spans="1:10" ht="15" customHeight="1" x14ac:dyDescent="0.35">
      <c r="A30" s="16" t="s">
        <v>194</v>
      </c>
      <c r="B30" s="69" t="str">
        <f ca="1">IF(ISNA(VLOOKUP($A30,TBAll,COLUMN(TB!$C$4),0))=TRUE,"error!",VLOOKUP($A30,TBAll,COLUMN(TB!$C$4),0))</f>
        <v>Travelling &amp; Accommodation</v>
      </c>
      <c r="C30" s="84">
        <f ca="1">IF(ISNA(MATCH(C$4,TBMonths,0))=TRUE,0,SUMIF(TBAll,$A30&amp;"*",OFFSET(TB!$C$4,1,MATCH(C$4,TBMonths,0),TBRowCount,1)))</f>
        <v>3750</v>
      </c>
      <c r="D30" s="33">
        <f ca="1">IF(ISNA(MATCH(D$4,TBMonths,0))=TRUE,0,SUMIF(TBAll,$A30&amp;"*",OFFSET(TB!$C$4,1,MATCH(D$4,TBMonths,0),TBRowCount,1)))</f>
        <v>3538</v>
      </c>
      <c r="E30" s="33">
        <f t="shared" ca="1" si="4"/>
        <v>-212</v>
      </c>
      <c r="F30" s="75">
        <f t="shared" ca="1" si="2"/>
        <v>-5.9920859242509894E-2</v>
      </c>
      <c r="H30" s="84">
        <f ca="1">IF(ISNA(MATCH(H$4,TBMonths,0))=TRUE,0,SUMIF(TBAll,$A30&amp;"*",OFFSET(TB!$C$4,1,MATCH(H$4,TBMonths,0),TBRowCount,1)))</f>
        <v>3370</v>
      </c>
      <c r="I30" s="33">
        <f t="shared" ca="1" si="5"/>
        <v>-168</v>
      </c>
      <c r="J30" s="75">
        <f t="shared" ca="1" si="3"/>
        <v>-4.9851632047477744E-2</v>
      </c>
    </row>
    <row r="31" spans="1:10" ht="15" customHeight="1" x14ac:dyDescent="0.35">
      <c r="A31" s="16" t="s">
        <v>195</v>
      </c>
      <c r="B31" s="69" t="str">
        <f ca="1">IF(ISNA(VLOOKUP($A31,TBAll,COLUMN(TB!$C$4),0))=TRUE,"error!",VLOOKUP($A31,TBAll,COLUMN(TB!$C$4),0))</f>
        <v>Utilities</v>
      </c>
      <c r="C31" s="84">
        <f ca="1">IF(ISNA(MATCH(C$4,TBMonths,0))=TRUE,0,SUMIF(TBAll,$A31&amp;"*",OFFSET(TB!$C$4,1,MATCH(C$4,TBMonths,0),TBRowCount,1)))</f>
        <v>0</v>
      </c>
      <c r="D31" s="33">
        <f ca="1">IF(ISNA(MATCH(D$4,TBMonths,0))=TRUE,0,SUMIF(TBAll,$A31&amp;"*",OFFSET(TB!$C$4,1,MATCH(D$4,TBMonths,0),TBRowCount,1)))</f>
        <v>0</v>
      </c>
      <c r="E31" s="33">
        <f t="shared" ca="1" si="4"/>
        <v>0</v>
      </c>
      <c r="F31" s="75">
        <f t="shared" ca="1" si="2"/>
        <v>0</v>
      </c>
      <c r="H31" s="84">
        <f ca="1">IF(ISNA(MATCH(H$4,TBMonths,0))=TRUE,0,SUMIF(TBAll,$A31&amp;"*",OFFSET(TB!$C$4,1,MATCH(H$4,TBMonths,0),TBRowCount,1)))</f>
        <v>0</v>
      </c>
      <c r="I31" s="33">
        <f t="shared" ca="1" si="5"/>
        <v>0</v>
      </c>
      <c r="J31" s="75">
        <f t="shared" ca="1" si="3"/>
        <v>0</v>
      </c>
    </row>
    <row r="32" spans="1:10" ht="15" customHeight="1" x14ac:dyDescent="0.35">
      <c r="A32" s="16" t="s">
        <v>289</v>
      </c>
      <c r="B32" s="69" t="str">
        <f ca="1">IF(ISNA(VLOOKUP($A32,TBAll,COLUMN(TB!$C$4),0))=TRUE,"error!",VLOOKUP($A32,TBAll,COLUMN(TB!$C$4),0))</f>
        <v>Other Expenses</v>
      </c>
      <c r="C32" s="85">
        <f ca="1">IF(ISNA(MATCH(C$4,TBMonths,0))=TRUE,0,SUMIF(TBAll,$A32&amp;"*",OFFSET(TB!$C$4,1,MATCH(C$4,TBMonths,0),TBRowCount,1)))</f>
        <v>1000</v>
      </c>
      <c r="D32" s="34">
        <f ca="1">IF(ISNA(MATCH(D$4,TBMonths,0))=TRUE,0,SUMIF(TBAll,$A32&amp;"*",OFFSET(TB!$C$4,1,MATCH(D$4,TBMonths,0),TBRowCount,1)))</f>
        <v>763</v>
      </c>
      <c r="E32" s="34">
        <f t="shared" ca="1" si="4"/>
        <v>-237</v>
      </c>
      <c r="F32" s="76">
        <f t="shared" ca="1" si="2"/>
        <v>-0.31061598951507208</v>
      </c>
      <c r="H32" s="85">
        <f ca="1">IF(ISNA(MATCH(H$4,TBMonths,0))=TRUE,0,SUMIF(TBAll,$A32&amp;"*",OFFSET(TB!$C$4,1,MATCH(H$4,TBMonths,0),TBRowCount,1)))</f>
        <v>500</v>
      </c>
      <c r="I32" s="34">
        <f t="shared" ca="1" si="5"/>
        <v>-263</v>
      </c>
      <c r="J32" s="76">
        <f t="shared" ca="1" si="3"/>
        <v>-0.52600000000000002</v>
      </c>
    </row>
    <row r="33" spans="1:11" ht="15" customHeight="1" x14ac:dyDescent="0.35">
      <c r="B33" s="69" t="s">
        <v>196</v>
      </c>
      <c r="C33" s="80">
        <f ca="1">SUM(C7,C9,-C10)</f>
        <v>881324</v>
      </c>
      <c r="D33" s="30">
        <f ca="1">SUM(D7,D9,-D10)</f>
        <v>493856</v>
      </c>
      <c r="E33" s="30">
        <f ca="1">C33-D33</f>
        <v>387468</v>
      </c>
      <c r="F33" s="70">
        <f t="shared" ca="1" si="2"/>
        <v>0.78457688071016651</v>
      </c>
      <c r="H33" s="80">
        <f ca="1">SUM(H7,H9,-H10)</f>
        <v>540286</v>
      </c>
      <c r="I33" s="30">
        <f ca="1">D33-H33</f>
        <v>-46430</v>
      </c>
      <c r="J33" s="70">
        <f t="shared" ca="1" si="3"/>
        <v>-8.5935967246976608E-2</v>
      </c>
    </row>
    <row r="34" spans="1:11" ht="15" customHeight="1" x14ac:dyDescent="0.35">
      <c r="A34" s="16" t="s">
        <v>99</v>
      </c>
      <c r="B34" s="69" t="s">
        <v>9</v>
      </c>
      <c r="C34" s="80">
        <f ca="1">IF(ISNA(MATCH(C$4,TBMonths,0))=TRUE,0,SUMIF(TBAll,$A34&amp;"*",OFFSET(TB!$C$4,1,MATCH(C$4,TBMonths,0),TBRowCount,1)))</f>
        <v>26366</v>
      </c>
      <c r="D34" s="30">
        <f ca="1">IF(ISNA(MATCH(D$4,TBMonths,0))=TRUE,0,SUMIF(TBAll,$A34&amp;"*",OFFSET(TB!$C$4,1,MATCH(D$4,TBMonths,0),TBRowCount,1)))</f>
        <v>36712</v>
      </c>
      <c r="E34" s="30">
        <f ca="1">D34-C34</f>
        <v>10346</v>
      </c>
      <c r="F34" s="70">
        <f t="shared" ca="1" si="2"/>
        <v>0.28181521028546525</v>
      </c>
      <c r="H34" s="80">
        <f ca="1">IF(ISNA(MATCH(H$4,TBMonths,0))=TRUE,0,SUMIF(TBAll,$A34&amp;"*",OFFSET(TB!$C$4,1,MATCH(H$4,TBMonths,0),TBRowCount,1)))</f>
        <v>45390</v>
      </c>
      <c r="I34" s="30">
        <f ca="1">H34-D34</f>
        <v>8678</v>
      </c>
      <c r="J34" s="70">
        <f t="shared" ca="1" si="3"/>
        <v>0.19118748623044723</v>
      </c>
    </row>
    <row r="35" spans="1:11" ht="15" customHeight="1" x14ac:dyDescent="0.35">
      <c r="B35" s="69" t="s">
        <v>119</v>
      </c>
      <c r="C35" s="81">
        <f ca="1">SUM(C33,-C34)</f>
        <v>854958</v>
      </c>
      <c r="D35" s="31">
        <f ca="1">SUM(D33,-D34)</f>
        <v>457144</v>
      </c>
      <c r="E35" s="31">
        <f ca="1">C35-D35</f>
        <v>397814</v>
      </c>
      <c r="F35" s="71">
        <f t="shared" ca="1" si="2"/>
        <v>0.87021594946012637</v>
      </c>
      <c r="H35" s="81">
        <f ca="1">SUM(H33,-H34)</f>
        <v>494896</v>
      </c>
      <c r="I35" s="31">
        <f ca="1">D35-H35</f>
        <v>-37752</v>
      </c>
      <c r="J35" s="71">
        <f t="shared" ca="1" si="3"/>
        <v>-7.6282693737674184E-2</v>
      </c>
    </row>
    <row r="36" spans="1:11" ht="15" customHeight="1" x14ac:dyDescent="0.35">
      <c r="A36" s="16" t="s">
        <v>100</v>
      </c>
      <c r="B36" s="69" t="s">
        <v>10</v>
      </c>
      <c r="C36" s="80">
        <f ca="1">IF(ISNA(MATCH(C$4,TBMonths,0))=TRUE,0,SUMIF(TBAll,$A36&amp;"*",OFFSET(TB!$C$4,1,MATCH(C$4,TBMonths,0),TBRowCount,1)))</f>
        <v>278868</v>
      </c>
      <c r="D36" s="30">
        <f ca="1">IF(ISNA(MATCH(D$4,TBMonths,0))=TRUE,0,SUMIF(TBAll,$A36&amp;"*",OFFSET(TB!$C$4,1,MATCH(D$4,TBMonths,0),TBRowCount,1)))</f>
        <v>189559</v>
      </c>
      <c r="E36" s="30">
        <f ca="1">D36-C36</f>
        <v>-89309</v>
      </c>
      <c r="F36" s="70">
        <f t="shared" ca="1" si="2"/>
        <v>-0.47114091127300733</v>
      </c>
      <c r="H36" s="80">
        <f ca="1">IF(ISNA(MATCH(H$4,TBMonths,0))=TRUE,0,SUMIF(TBAll,$A36&amp;"*",OFFSET(TB!$C$4,1,MATCH(H$4,TBMonths,0),TBRowCount,1)))</f>
        <v>167290</v>
      </c>
      <c r="I36" s="30">
        <f ca="1">H36-D36</f>
        <v>-22269</v>
      </c>
      <c r="J36" s="70">
        <f t="shared" ca="1" si="3"/>
        <v>-0.13311614561539842</v>
      </c>
    </row>
    <row r="37" spans="1:11" ht="15" customHeight="1" x14ac:dyDescent="0.35">
      <c r="B37" s="69" t="s">
        <v>204</v>
      </c>
      <c r="C37" s="81">
        <f ca="1">SUM(C35,-C36)</f>
        <v>576090</v>
      </c>
      <c r="D37" s="31">
        <f ca="1">SUM(D35,-D36)</f>
        <v>267585</v>
      </c>
      <c r="E37" s="31">
        <f ca="1">C37-D37</f>
        <v>308505</v>
      </c>
      <c r="F37" s="71">
        <f t="shared" ca="1" si="2"/>
        <v>1.1529233701440664</v>
      </c>
      <c r="H37" s="81">
        <f ca="1">SUM(H35,-H36)</f>
        <v>327606</v>
      </c>
      <c r="I37" s="31">
        <f ca="1">D37-H37</f>
        <v>-60021</v>
      </c>
      <c r="J37" s="71">
        <f t="shared" ca="1" si="3"/>
        <v>-0.18321093020274354</v>
      </c>
    </row>
    <row r="38" spans="1:11" ht="15" customHeight="1" x14ac:dyDescent="0.35">
      <c r="A38" s="16" t="s">
        <v>115</v>
      </c>
      <c r="B38" s="69" t="s">
        <v>202</v>
      </c>
      <c r="C38" s="80">
        <f ca="1">-IF(ISNA(MATCH(C$4,TBMonths,0))=TRUE,0,SUMIF(TBAll,$A38&amp;"*",OFFSET(TB!$C$4,1,MATCH(C$4,TBMonths,0),TBRowCount,1)))</f>
        <v>2171350</v>
      </c>
      <c r="D38" s="30">
        <f ca="1">-IF(ISNA(MATCH(D$4,TBMonths,0))=TRUE,0,SUMIF(TBAll,$A38&amp;"*",OFFSET(TB!$C$4,1,MATCH(D$4,TBMonths,0),TBRowCount,1)))</f>
        <v>2003765</v>
      </c>
      <c r="E38" s="30">
        <f ca="1">C38-D38</f>
        <v>167585</v>
      </c>
      <c r="F38" s="70">
        <f t="shared" ca="1" si="2"/>
        <v>8.3635057005187738E-2</v>
      </c>
      <c r="H38" s="80">
        <f ca="1">-IF(ISNA(MATCH(H$4,TBMonths,0))=TRUE,0,SUMIF(TBAll,$A38&amp;"*",OFFSET(TB!$C$4,1,MATCH(H$4,TBMonths,0),TBRowCount,1)))</f>
        <v>1756159</v>
      </c>
      <c r="I38" s="30">
        <f ca="1">D38-H38</f>
        <v>247606</v>
      </c>
      <c r="J38" s="70">
        <f t="shared" ca="1" si="3"/>
        <v>0.14099292831685514</v>
      </c>
    </row>
    <row r="39" spans="1:11" ht="15" customHeight="1" x14ac:dyDescent="0.35">
      <c r="A39" s="16" t="s">
        <v>101</v>
      </c>
      <c r="B39" s="69" t="s">
        <v>12</v>
      </c>
      <c r="C39" s="80">
        <f ca="1">IF(ISNA(MATCH(C$4,TBMonths,0))=TRUE,0,SUMIF(TBAll,$A39&amp;"*",OFFSET(TB!$C$4,1,MATCH(C$4,TBMonths,0),TBRowCount,1)))</f>
        <v>150000</v>
      </c>
      <c r="D39" s="30">
        <f ca="1">IF(ISNA(MATCH(D$4,TBMonths,0))=TRUE,0,SUMIF(TBAll,$A39&amp;"*",OFFSET(TB!$C$4,1,MATCH(D$4,TBMonths,0),TBRowCount,1)))</f>
        <v>100000</v>
      </c>
      <c r="E39" s="30">
        <f ca="1">D39-C39</f>
        <v>-50000</v>
      </c>
      <c r="F39" s="70">
        <f t="shared" ca="1" si="2"/>
        <v>-0.5</v>
      </c>
      <c r="H39" s="80">
        <f ca="1">IF(ISNA(MATCH(H$4,TBMonths,0))=TRUE,0,SUMIF(TBAll,$A39&amp;"*",OFFSET(TB!$C$4,1,MATCH(H$4,TBMonths,0),TBRowCount,1)))</f>
        <v>80000</v>
      </c>
      <c r="I39" s="30">
        <f ca="1">H39-D39</f>
        <v>-20000</v>
      </c>
      <c r="J39" s="70">
        <f t="shared" ca="1" si="3"/>
        <v>-0.25</v>
      </c>
    </row>
    <row r="40" spans="1:11" s="26" customFormat="1" ht="15" customHeight="1" thickBot="1" x14ac:dyDescent="0.4">
      <c r="A40" s="28"/>
      <c r="B40" s="77" t="s">
        <v>203</v>
      </c>
      <c r="C40" s="87">
        <f ca="1">SUM(C37,C38,-C39)</f>
        <v>2597440</v>
      </c>
      <c r="D40" s="38">
        <f ca="1">SUM(D37,D38,-D39)</f>
        <v>2171350</v>
      </c>
      <c r="E40" s="38">
        <f ca="1">SUM(E37:E39)</f>
        <v>426090</v>
      </c>
      <c r="F40" s="79">
        <f t="shared" ca="1" si="2"/>
        <v>0.19623275842217974</v>
      </c>
      <c r="G40"/>
      <c r="H40" s="87">
        <f ca="1">SUM(H37,H38,-H39)</f>
        <v>2003765</v>
      </c>
      <c r="I40" s="38">
        <f ca="1">SUM(I37:I39)</f>
        <v>167585</v>
      </c>
      <c r="J40" s="79">
        <f t="shared" ca="1" si="3"/>
        <v>8.3635057005187738E-2</v>
      </c>
      <c r="K40" s="25"/>
    </row>
    <row r="41" spans="1:11" ht="15" customHeight="1" thickTop="1" x14ac:dyDescent="0.35">
      <c r="C41" s="30"/>
      <c r="D41" s="30"/>
      <c r="E41" s="30"/>
      <c r="F41" s="36"/>
      <c r="H41" s="30"/>
      <c r="I41" s="30"/>
      <c r="J41" s="36"/>
    </row>
  </sheetData>
  <pageMargins left="0.55118110236220474" right="0.55118110236220474" top="0.55118110236220474" bottom="0.55118110236220474" header="0.39370078740157483" footer="0.39370078740157483"/>
  <pageSetup paperSize="9" scale="79" orientation="landscape" r:id="rId1"/>
  <headerFooter>
    <oddFooter>&amp;C&amp;9Page &amp;P of &amp;N</oddFooter>
  </headerFooter>
  <ignoredErrors>
    <ignoredError sqref="C33:E33 C36:E36 E7 E10:F10 I7 C35:E35 E34 H33:I33 H35:I35 I34 H36:I3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"/>
  <sheetViews>
    <sheetView zoomScale="95" zoomScaleNormal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ColWidth="9.1328125" defaultRowHeight="15" customHeight="1" x14ac:dyDescent="0.35"/>
  <cols>
    <col min="1" max="1" width="8.73046875" style="16" customWidth="1"/>
    <col min="2" max="2" width="35.73046875" style="44" customWidth="1"/>
    <col min="3" max="5" width="14.73046875" style="29" customWidth="1"/>
    <col min="6" max="6" width="12.73046875" style="35" customWidth="1"/>
    <col min="7" max="7" width="2.73046875" customWidth="1"/>
    <col min="8" max="9" width="14.73046875" style="29" customWidth="1"/>
    <col min="10" max="10" width="12.73046875" style="35" customWidth="1"/>
    <col min="11" max="11" width="2.73046875" style="9" customWidth="1"/>
    <col min="12" max="14" width="14.73046875" style="2" customWidth="1"/>
    <col min="15" max="15" width="2.73046875" style="2" customWidth="1"/>
    <col min="16" max="18" width="14.73046875" style="2" customWidth="1"/>
    <col min="19" max="19" width="2.73046875" style="2" customWidth="1"/>
    <col min="20" max="22" width="14.73046875" style="2" customWidth="1"/>
    <col min="23" max="23" width="2.73046875" style="2" customWidth="1"/>
    <col min="24" max="16384" width="9.1328125" style="2"/>
  </cols>
  <sheetData>
    <row r="1" spans="1:11" x14ac:dyDescent="0.4">
      <c r="B1" s="42" t="str">
        <f>'Set-up'!$B$4</f>
        <v>Example Trading Limited</v>
      </c>
    </row>
    <row r="2" spans="1:11" s="22" customFormat="1" ht="15.95" customHeight="1" x14ac:dyDescent="0.35">
      <c r="A2" s="27"/>
      <c r="B2" s="62" t="str">
        <f ca="1">"Statement of cash flows for the period ended "&amp;TEXT('Set-up'!$B$10,"dd mmmm yyyy")</f>
        <v>Statement of cash flows for the period ended 28 February 2017</v>
      </c>
      <c r="C2" s="51"/>
      <c r="D2" s="51"/>
      <c r="E2" s="51"/>
      <c r="F2" s="52"/>
      <c r="G2"/>
      <c r="H2" s="51"/>
      <c r="I2" s="51"/>
      <c r="J2" s="52"/>
      <c r="K2" s="21"/>
    </row>
    <row r="3" spans="1:11" s="22" customFormat="1" ht="15.95" customHeight="1" x14ac:dyDescent="0.35">
      <c r="A3" s="27"/>
      <c r="B3" s="43" t="s">
        <v>124</v>
      </c>
      <c r="C3"/>
      <c r="D3"/>
      <c r="E3"/>
      <c r="F3"/>
      <c r="G3"/>
      <c r="H3"/>
      <c r="I3"/>
      <c r="J3"/>
      <c r="K3" s="21"/>
    </row>
    <row r="4" spans="1:11" s="18" customFormat="1" ht="15.95" customHeight="1" x14ac:dyDescent="0.35">
      <c r="A4" s="88"/>
      <c r="B4" s="15"/>
      <c r="C4" s="54">
        <f ca="1">IF(ISBLANK('Set-up'!$B$8),YEAR(TODAY()),'Set-up'!$B$8)</f>
        <v>2017</v>
      </c>
      <c r="D4" s="54">
        <f ca="1">C4-1</f>
        <v>2016</v>
      </c>
      <c r="E4" s="54" t="s">
        <v>126</v>
      </c>
      <c r="F4" s="54" t="s">
        <v>127</v>
      </c>
      <c r="G4" s="98"/>
      <c r="H4" s="54">
        <f ca="1">D4-1</f>
        <v>2015</v>
      </c>
      <c r="I4" s="54" t="s">
        <v>126</v>
      </c>
      <c r="J4" s="54" t="s">
        <v>127</v>
      </c>
      <c r="K4" s="17"/>
    </row>
    <row r="5" spans="1:11" s="26" customFormat="1" ht="15" customHeight="1" x14ac:dyDescent="0.35">
      <c r="A5" s="28"/>
      <c r="B5" s="100" t="s">
        <v>38</v>
      </c>
      <c r="C5" s="97"/>
      <c r="D5" s="68"/>
      <c r="E5" s="68"/>
      <c r="F5" s="91"/>
      <c r="G5"/>
      <c r="H5" s="94"/>
      <c r="I5" s="68"/>
      <c r="J5" s="91"/>
      <c r="K5" s="25"/>
    </row>
    <row r="6" spans="1:11" ht="15" customHeight="1" x14ac:dyDescent="0.35">
      <c r="B6" s="101" t="s">
        <v>204</v>
      </c>
      <c r="C6" s="80">
        <f ca="1">IS!C37</f>
        <v>576090</v>
      </c>
      <c r="D6" s="30">
        <f ca="1">IS!D37</f>
        <v>267585</v>
      </c>
      <c r="E6" s="30">
        <f ca="1">C6-D6</f>
        <v>308505</v>
      </c>
      <c r="F6" s="70">
        <f ca="1">IF(D6=0,IF(E6=0,0,-1),E6/ABS(D6))</f>
        <v>1.1529233701440664</v>
      </c>
      <c r="H6" s="80">
        <f ca="1">IS!H37</f>
        <v>327606</v>
      </c>
      <c r="I6" s="30">
        <f ca="1">D6-H6</f>
        <v>-60021</v>
      </c>
      <c r="J6" s="70">
        <f ca="1">IF(H6=0,IF(I6=0,0,-1),I6/ABS(H6))</f>
        <v>-0.18321093020274354</v>
      </c>
    </row>
    <row r="7" spans="1:11" ht="15" customHeight="1" x14ac:dyDescent="0.35">
      <c r="B7" s="101" t="s">
        <v>130</v>
      </c>
      <c r="C7" s="80">
        <f ca="1">IS!C34</f>
        <v>26366</v>
      </c>
      <c r="D7" s="30">
        <f ca="1">IS!D34</f>
        <v>36712</v>
      </c>
      <c r="E7" s="30">
        <f t="shared" ref="E7:E10" ca="1" si="0">C7-D7</f>
        <v>-10346</v>
      </c>
      <c r="F7" s="70">
        <f t="shared" ref="F7:F10" ca="1" si="1">IF(D7=0,IF(E7=0,0,-1),E7/ABS(D7))</f>
        <v>-0.28181521028546525</v>
      </c>
      <c r="H7" s="80">
        <f ca="1">IS!H34</f>
        <v>45390</v>
      </c>
      <c r="I7" s="30">
        <f t="shared" ref="I7:I10" ca="1" si="2">D7-H7</f>
        <v>-8678</v>
      </c>
      <c r="J7" s="70">
        <f t="shared" ref="J7:J10" ca="1" si="3">IF(H7=0,IF(I7=0,0,-1),I7/ABS(H7))</f>
        <v>-0.19118748623044723</v>
      </c>
    </row>
    <row r="8" spans="1:11" ht="15" customHeight="1" x14ac:dyDescent="0.35">
      <c r="B8" s="101" t="s">
        <v>131</v>
      </c>
      <c r="C8" s="80">
        <f ca="1">IS!C36</f>
        <v>278868</v>
      </c>
      <c r="D8" s="30">
        <f ca="1">IS!D36</f>
        <v>189559</v>
      </c>
      <c r="E8" s="30">
        <f t="shared" ca="1" si="0"/>
        <v>89309</v>
      </c>
      <c r="F8" s="70">
        <f t="shared" ca="1" si="1"/>
        <v>0.47114091127300733</v>
      </c>
      <c r="H8" s="80">
        <f ca="1">IS!H36</f>
        <v>167290</v>
      </c>
      <c r="I8" s="30">
        <f t="shared" ca="1" si="2"/>
        <v>22269</v>
      </c>
      <c r="J8" s="70">
        <f t="shared" ca="1" si="3"/>
        <v>0.13311614561539842</v>
      </c>
    </row>
    <row r="9" spans="1:11" ht="15" customHeight="1" x14ac:dyDescent="0.35">
      <c r="A9" s="16" t="s">
        <v>216</v>
      </c>
      <c r="B9" s="101" t="s">
        <v>214</v>
      </c>
      <c r="C9" s="80">
        <f ca="1">IF(ISNA(MATCH(C$4,TBMonths,0))=TRUE,0,SUMIF(TBAll,$A9&amp;"*",OFFSET(TB!$C$4,1,MATCH(C$4,TBMonths,0),TBRowCount,1)))</f>
        <v>-22999</v>
      </c>
      <c r="D9" s="30">
        <f ca="1">IF(ISNA(MATCH(D$4,TBMonths,0))=TRUE,0,SUMIF(TBAll,$A9&amp;"*",OFFSET(TB!$C$4,1,MATCH(D$4,TBMonths,0),TBRowCount,1)))</f>
        <v>-14385</v>
      </c>
      <c r="E9" s="30">
        <f t="shared" ca="1" si="0"/>
        <v>-8614</v>
      </c>
      <c r="F9" s="70">
        <f t="shared" ca="1" si="1"/>
        <v>-0.59881821341675356</v>
      </c>
      <c r="H9" s="80">
        <f ca="1">IF(ISNA(MATCH(H$4,TBMonths,0))=TRUE,0,SUMIF(TBAll,$A9&amp;"*",OFFSET(TB!$C$4,1,MATCH(H$4,TBMonths,0),TBRowCount,1)))</f>
        <v>-19846</v>
      </c>
      <c r="I9" s="30">
        <f t="shared" ca="1" si="2"/>
        <v>5461</v>
      </c>
      <c r="J9" s="70">
        <f t="shared" ca="1" si="3"/>
        <v>0.27516879975813768</v>
      </c>
    </row>
    <row r="10" spans="1:11" ht="15" customHeight="1" x14ac:dyDescent="0.35">
      <c r="A10" s="16" t="s">
        <v>213</v>
      </c>
      <c r="B10" s="101" t="s">
        <v>132</v>
      </c>
      <c r="C10" s="80">
        <f ca="1">IF(ISNA(MATCH(C$4,TBMonths,0))=TRUE,0,SUMIF(TBAll,$A10&amp;"*",OFFSET(TB!$C$4,1,MATCH(C$4,TBMonths,0),TBRowCount,1)))</f>
        <v>-27000</v>
      </c>
      <c r="D10" s="30">
        <f ca="1">IF(ISNA(MATCH(D$4,TBMonths,0))=TRUE,0,SUMIF(TBAll,$A10&amp;"*",OFFSET(TB!$C$4,1,MATCH(D$4,TBMonths,0),TBRowCount,1)))</f>
        <v>-25000</v>
      </c>
      <c r="E10" s="30">
        <f t="shared" ca="1" si="0"/>
        <v>-2000</v>
      </c>
      <c r="F10" s="70">
        <f t="shared" ca="1" si="1"/>
        <v>-0.08</v>
      </c>
      <c r="H10" s="80">
        <f ca="1">IF(ISNA(MATCH(H$4,TBMonths,0))=TRUE,0,SUMIF(TBAll,$A10&amp;"*",OFFSET(TB!$C$4,1,MATCH(H$4,TBMonths,0),TBRowCount,1)))</f>
        <v>-25000</v>
      </c>
      <c r="I10" s="30">
        <f t="shared" ca="1" si="2"/>
        <v>0</v>
      </c>
      <c r="J10" s="70">
        <f t="shared" ca="1" si="3"/>
        <v>0</v>
      </c>
    </row>
    <row r="11" spans="1:11" ht="15" customHeight="1" x14ac:dyDescent="0.35">
      <c r="B11" s="101" t="s">
        <v>205</v>
      </c>
      <c r="C11" s="80"/>
      <c r="D11" s="30"/>
      <c r="E11" s="30"/>
      <c r="F11" s="70"/>
      <c r="H11" s="80"/>
      <c r="I11" s="30"/>
      <c r="J11" s="70"/>
    </row>
    <row r="12" spans="1:11" ht="15" customHeight="1" x14ac:dyDescent="0.35">
      <c r="A12" s="16" t="s">
        <v>181</v>
      </c>
      <c r="B12" s="101" t="s">
        <v>133</v>
      </c>
      <c r="C12" s="80">
        <f ca="1">IF(ISNA(MATCH(C$4,TBMonths,0))=TRUE,0,SUMIF(TBAll,$A12&amp;"*",OFFSET(TB!$C$4,1,MATCH(C$4,TBMonths,0),TBRowCount,1)))</f>
        <v>95510</v>
      </c>
      <c r="D12" s="30">
        <f ca="1">IF(ISNA(MATCH(D$4,TBMonths,0))=TRUE,0,SUMIF(TBAll,$A12&amp;"*",OFFSET(TB!$C$4,1,MATCH(D$4,TBMonths,0),TBRowCount,1)))</f>
        <v>91915</v>
      </c>
      <c r="E12" s="30">
        <f t="shared" ref="E12:E15" ca="1" si="4">C12-D12</f>
        <v>3595</v>
      </c>
      <c r="F12" s="70">
        <f t="shared" ref="F12:F15" ca="1" si="5">IF(D12=0,IF(E12=0,0,-1),E12/ABS(D12))</f>
        <v>3.9112223249741611E-2</v>
      </c>
      <c r="H12" s="80">
        <f ca="1">IF(ISNA(MATCH(H$4,TBMonths,0))=TRUE,0,SUMIF(TBAll,$A12&amp;"*",OFFSET(TB!$C$4,1,MATCH(H$4,TBMonths,0),TBRowCount,1)))</f>
        <v>91915</v>
      </c>
      <c r="I12" s="30">
        <f t="shared" ref="I12:I15" ca="1" si="6">D12-H12</f>
        <v>0</v>
      </c>
      <c r="J12" s="70">
        <f t="shared" ref="J12:J15" ca="1" si="7">IF(H12=0,IF(I12=0,0,-1),I12/ABS(H12))</f>
        <v>0</v>
      </c>
    </row>
    <row r="13" spans="1:11" ht="15" customHeight="1" x14ac:dyDescent="0.35">
      <c r="A13" s="16" t="s">
        <v>284</v>
      </c>
      <c r="B13" s="101" t="s">
        <v>134</v>
      </c>
      <c r="C13" s="80">
        <f ca="1">IF(ISNA(MATCH(C$4,TBMonths,0))=TRUE,0,SUMIF(TBAll,$A13&amp;"*",OFFSET(TB!$C$4,1,MATCH(C$4,TBMonths,0),TBRowCount,1)))</f>
        <v>38650</v>
      </c>
      <c r="D13" s="30">
        <f ca="1">IF(ISNA(MATCH(D$4,TBMonths,0))=TRUE,0,SUMIF(TBAll,$A13&amp;"*",OFFSET(TB!$C$4,1,MATCH(D$4,TBMonths,0),TBRowCount,1)))</f>
        <v>12200</v>
      </c>
      <c r="E13" s="30">
        <f t="shared" ca="1" si="4"/>
        <v>26450</v>
      </c>
      <c r="F13" s="70">
        <f t="shared" ca="1" si="5"/>
        <v>2.168032786885246</v>
      </c>
      <c r="H13" s="80">
        <f ca="1">IF(ISNA(MATCH(H$4,TBMonths,0))=TRUE,0,SUMIF(TBAll,$A13&amp;"*",OFFSET(TB!$C$4,1,MATCH(H$4,TBMonths,0),TBRowCount,1)))</f>
        <v>11750</v>
      </c>
      <c r="I13" s="30">
        <f t="shared" ca="1" si="6"/>
        <v>450</v>
      </c>
      <c r="J13" s="70">
        <f t="shared" ca="1" si="7"/>
        <v>3.8297872340425532E-2</v>
      </c>
    </row>
    <row r="14" spans="1:11" ht="15" customHeight="1" x14ac:dyDescent="0.35">
      <c r="A14" s="16" t="s">
        <v>115</v>
      </c>
      <c r="B14" s="101" t="s">
        <v>290</v>
      </c>
      <c r="C14" s="80">
        <f ca="1">IF(ISNA(MATCH(C$4-1,TBMonths,0))=TRUE,0,SUMIF(TBAll,$A14&amp;"*",OFFSET(TB!$C$4,1,MATCH(C$4-1,TBMonths,0),TBRowCount,1)))+IF(ISNA(MATCH(C$4-1,TBMonths,0))=TRUE,0,SUMIF(TBAll,"I-*",OFFSET(TB!$C$4,1,MATCH(C$4-1,TBMonths,0),TBRowCount,1)))-IF(ISNA(MATCH(C$4,TBMonths,0))=TRUE,0,SUMIF(TBAll,$A14&amp;"*",OFFSET(TB!$C$4,1,MATCH(C$4,TBMonths,0),TBRowCount,1)))</f>
        <v>0</v>
      </c>
      <c r="D14" s="30">
        <f ca="1">IF(ISNA(MATCH(D$4-1,TBMonths,0))=TRUE,0,SUMIF(TBAll,$A14&amp;"*",OFFSET(TB!$C$4,1,MATCH(D$4-1,TBMonths,0),TBRowCount,1)))+IF(ISNA(MATCH(D$4-1,TBMonths,0))=TRUE,0,SUMIF(TBAll,"I-*",OFFSET(TB!$C$4,1,MATCH(D$4-1,TBMonths,0),TBRowCount,1)))-IF(ISNA(MATCH(D$4,TBMonths,0))=TRUE,0,SUMIF(TBAll,$A14&amp;"*",OFFSET(TB!$C$4,1,MATCH(D$4,TBMonths,0),TBRowCount,1)))</f>
        <v>0</v>
      </c>
      <c r="E14" s="30">
        <f t="shared" ref="E14" ca="1" si="8">C14-D14</f>
        <v>0</v>
      </c>
      <c r="F14" s="70">
        <f t="shared" ref="F14" ca="1" si="9">IF(D14=0,IF(E14=0,0,-1),E14/ABS(D14))</f>
        <v>0</v>
      </c>
      <c r="H14" s="80">
        <f ca="1">IF(ISNA(MATCH(H$4-1,TBMonths,0))=TRUE,0,SUMIF(TBAll,$A14&amp;"*",OFFSET(TB!$C$4,1,MATCH(H$4-1,TBMonths,0),TBRowCount,1)))+IF(ISNA(MATCH(H$4-1,TBMonths,0))=TRUE,0,SUMIF(TBAll,"I-*",OFFSET(TB!$C$4,1,MATCH(H$4-1,TBMonths,0),TBRowCount,1)))-IF(ISNA(MATCH(H$4,TBMonths,0))=TRUE,0,SUMIF(TBAll,$A14&amp;"*",OFFSET(TB!$C$4,1,MATCH(H$4,TBMonths,0),TBRowCount,1)))</f>
        <v>0</v>
      </c>
      <c r="I14" s="30">
        <f t="shared" ref="I14" ca="1" si="10">D14-H14</f>
        <v>0</v>
      </c>
      <c r="J14" s="70">
        <f t="shared" ref="J14" ca="1" si="11">IF(H14=0,IF(I14=0,0,-1),I14/ABS(H14))</f>
        <v>0</v>
      </c>
    </row>
    <row r="15" spans="1:11" ht="15" customHeight="1" x14ac:dyDescent="0.35">
      <c r="A15" s="16" t="s">
        <v>113</v>
      </c>
      <c r="B15" s="101" t="s">
        <v>135</v>
      </c>
      <c r="C15" s="80">
        <f ca="1">IF(ISNA(MATCH(C$4-1,TBMonths,0))=TRUE,0,SUMIF(TBAll,$A15&amp;"*",OFFSET(TB!$C$4,1,MATCH(C$4-1,TBMonths,0),TBRowCount,1)))-IF(ISNA(MATCH(C$4,TBMonths,0))=TRUE,0,SUMIF(TBAll,$A15&amp;"*",OFFSET(TB!$C$4,1,MATCH(C$4,TBMonths,0),TBRowCount,1)))</f>
        <v>-47</v>
      </c>
      <c r="D15" s="30">
        <f ca="1">IF(ISNA(MATCH(D$4-1,TBMonths,0))=TRUE,0,SUMIF(TBAll,$A15&amp;"*",OFFSET(TB!$C$4,1,MATCH(D$4-1,TBMonths,0),TBRowCount,1)))-IF(ISNA(MATCH(D$4,TBMonths,0))=TRUE,0,SUMIF(TBAll,$A15&amp;"*",OFFSET(TB!$C$4,1,MATCH(D$4,TBMonths,0),TBRowCount,1)))</f>
        <v>3233</v>
      </c>
      <c r="E15" s="30">
        <f t="shared" ca="1" si="4"/>
        <v>-3280</v>
      </c>
      <c r="F15" s="70">
        <f t="shared" ca="1" si="5"/>
        <v>-1.0145375811939374</v>
      </c>
      <c r="H15" s="80">
        <f ca="1">IF(ISNA(MATCH(H$4-1,TBMonths,0))=TRUE,0,SUMIF(TBAll,$A15&amp;"*",OFFSET(TB!$C$4,1,MATCH(H$4-1,TBMonths,0),TBRowCount,1)))-IF(ISNA(MATCH(H$4,TBMonths,0))=TRUE,0,SUMIF(TBAll,$A15&amp;"*",OFFSET(TB!$C$4,1,MATCH(H$4,TBMonths,0),TBRowCount,1)))</f>
        <v>109237</v>
      </c>
      <c r="I15" s="30">
        <f t="shared" ca="1" si="6"/>
        <v>-106004</v>
      </c>
      <c r="J15" s="70">
        <f t="shared" ca="1" si="7"/>
        <v>-0.97040380090994804</v>
      </c>
    </row>
    <row r="16" spans="1:11" ht="15" customHeight="1" x14ac:dyDescent="0.35">
      <c r="B16" s="101" t="s">
        <v>210</v>
      </c>
      <c r="C16" s="80"/>
      <c r="D16" s="30"/>
      <c r="E16" s="30"/>
      <c r="F16" s="70"/>
      <c r="H16" s="80"/>
      <c r="I16" s="30"/>
      <c r="J16" s="70"/>
    </row>
    <row r="17" spans="1:11" ht="15" customHeight="1" x14ac:dyDescent="0.35">
      <c r="A17" s="16" t="s">
        <v>102</v>
      </c>
      <c r="B17" s="101" t="s">
        <v>206</v>
      </c>
      <c r="C17" s="80">
        <f ca="1">IF(ISNA(MATCH(C$4-1,TBMonths,0))=TRUE,0,SUMIF(TBAll,$A17&amp;"*",OFFSET(TB!$C$4,1,MATCH(C$4-1,TBMonths,0),TBRowCount,1)))-IF(ISNA(MATCH(C$4,TBMonths,0))=TRUE,0,SUMIF(TBAll,$A17&amp;"*",OFFSET(TB!$C$4,1,MATCH(C$4,TBMonths,0),TBRowCount,1)))</f>
        <v>-200407</v>
      </c>
      <c r="D17" s="30">
        <f ca="1">IF(ISNA(MATCH(D$4-1,TBMonths,0))=TRUE,0,SUMIF(TBAll,$A17&amp;"*",OFFSET(TB!$C$4,1,MATCH(D$4-1,TBMonths,0),TBRowCount,1)))-IF(ISNA(MATCH(D$4,TBMonths,0))=TRUE,0,SUMIF(TBAll,$A17&amp;"*",OFFSET(TB!$C$4,1,MATCH(D$4,TBMonths,0),TBRowCount,1)))</f>
        <v>-49337</v>
      </c>
      <c r="E17" s="30">
        <f t="shared" ref="E17:E21" ca="1" si="12">C17-D17</f>
        <v>-151070</v>
      </c>
      <c r="F17" s="70">
        <f t="shared" ref="F17:F25" ca="1" si="13">IF(D17=0,IF(E17=0,0,-1),E17/ABS(D17))</f>
        <v>-3.0620021484889635</v>
      </c>
      <c r="H17" s="80">
        <f ca="1">IF(ISNA(MATCH(H$4-1,TBMonths,0))=TRUE,0,SUMIF(TBAll,$A17&amp;"*",OFFSET(TB!$C$4,1,MATCH(H$4-1,TBMonths,0),TBRowCount,1)))-IF(ISNA(MATCH(H$4,TBMonths,0))=TRUE,0,SUMIF(TBAll,$A17&amp;"*",OFFSET(TB!$C$4,1,MATCH(H$4,TBMonths,0),TBRowCount,1)))</f>
        <v>-196588</v>
      </c>
      <c r="I17" s="30">
        <f t="shared" ref="I17:I21" ca="1" si="14">D17-H17</f>
        <v>147251</v>
      </c>
      <c r="J17" s="70">
        <f t="shared" ref="J17:J25" ca="1" si="15">IF(H17=0,IF(I17=0,0,-1),I17/ABS(H17))</f>
        <v>0.74903351170976862</v>
      </c>
    </row>
    <row r="18" spans="1:11" ht="15" customHeight="1" x14ac:dyDescent="0.35">
      <c r="A18" s="16" t="s">
        <v>280</v>
      </c>
      <c r="B18" s="101" t="s">
        <v>282</v>
      </c>
      <c r="C18" s="80">
        <f ca="1">IF(ISNA(MATCH(C$4-1,TBMonths,0))=TRUE,0,SUMIF(TBAll,$A18&amp;"*",OFFSET(TB!$C$4,1,MATCH(C$4-1,TBMonths,0),TBRowCount,1)))-IF(ISNA(MATCH(C$4,TBMonths,0))=TRUE,0,SUMIF(TBAll,$A18&amp;"*",OFFSET(TB!$C$4,1,MATCH(C$4,TBMonths,0),TBRowCount,1)))</f>
        <v>-11282</v>
      </c>
      <c r="D18" s="30">
        <f ca="1">IF(ISNA(MATCH(D$4-1,TBMonths,0))=TRUE,0,SUMIF(TBAll,$A18&amp;"*",OFFSET(TB!$C$4,1,MATCH(D$4-1,TBMonths,0),TBRowCount,1)))-IF(ISNA(MATCH(D$4,TBMonths,0))=TRUE,0,SUMIF(TBAll,$A18&amp;"*",OFFSET(TB!$C$4,1,MATCH(D$4,TBMonths,0),TBRowCount,1)))</f>
        <v>-3288</v>
      </c>
      <c r="E18" s="30">
        <f t="shared" ref="E18" ca="1" si="16">C18-D18</f>
        <v>-7994</v>
      </c>
      <c r="F18" s="70">
        <f t="shared" ref="F18" ca="1" si="17">IF(D18=0,IF(E18=0,0,-1),E18/ABS(D18))</f>
        <v>-2.4312652068126521</v>
      </c>
      <c r="H18" s="80">
        <f ca="1">IF(ISNA(MATCH(H$4-1,TBMonths,0))=TRUE,0,SUMIF(TBAll,$A18&amp;"*",OFFSET(TB!$C$4,1,MATCH(H$4-1,TBMonths,0),TBRowCount,1)))-IF(ISNA(MATCH(H$4,TBMonths,0))=TRUE,0,SUMIF(TBAll,$A18&amp;"*",OFFSET(TB!$C$4,1,MATCH(H$4,TBMonths,0),TBRowCount,1)))</f>
        <v>-28990</v>
      </c>
      <c r="I18" s="30">
        <f t="shared" ref="I18" ca="1" si="18">D18-H18</f>
        <v>25702</v>
      </c>
      <c r="J18" s="70">
        <f t="shared" ref="J18" ca="1" si="19">IF(H18=0,IF(I18=0,0,-1),I18/ABS(H18))</f>
        <v>0.88658157985512243</v>
      </c>
    </row>
    <row r="19" spans="1:11" ht="15" customHeight="1" x14ac:dyDescent="0.35">
      <c r="A19" s="16" t="s">
        <v>199</v>
      </c>
      <c r="B19" s="101" t="s">
        <v>136</v>
      </c>
      <c r="C19" s="80">
        <f ca="1">IF(ISNA(MATCH(C$4-1,TBMonths,0))=TRUE,0,SUMIF(TBAll,$A19&amp;"*",OFFSET(TB!$C$4,1,MATCH(C$4-1,TBMonths,0),TBRowCount,1)))-IF(ISNA(MATCH(C$4,TBMonths,0))=TRUE,0,SUMIF(TBAll,$A19&amp;"*",OFFSET(TB!$C$4,1,MATCH(C$4,TBMonths,0),TBRowCount,1)))</f>
        <v>-9460</v>
      </c>
      <c r="D19" s="30">
        <f ca="1">IF(ISNA(MATCH(D$4-1,TBMonths,0))=TRUE,0,SUMIF(TBAll,$A19&amp;"*",OFFSET(TB!$C$4,1,MATCH(D$4-1,TBMonths,0),TBRowCount,1)))-IF(ISNA(MATCH(D$4,TBMonths,0))=TRUE,0,SUMIF(TBAll,$A19&amp;"*",OFFSET(TB!$C$4,1,MATCH(D$4,TBMonths,0),TBRowCount,1)))</f>
        <v>-2870</v>
      </c>
      <c r="E19" s="30">
        <f t="shared" ca="1" si="12"/>
        <v>-6590</v>
      </c>
      <c r="F19" s="70">
        <f t="shared" ca="1" si="13"/>
        <v>-2.2961672473867596</v>
      </c>
      <c r="H19" s="80">
        <f ca="1">IF(ISNA(MATCH(H$4-1,TBMonths,0))=TRUE,0,SUMIF(TBAll,$A19&amp;"*",OFFSET(TB!$C$4,1,MATCH(H$4-1,TBMonths,0),TBRowCount,1)))-IF(ISNA(MATCH(H$4,TBMonths,0))=TRUE,0,SUMIF(TBAll,$A19&amp;"*",OFFSET(TB!$C$4,1,MATCH(H$4,TBMonths,0),TBRowCount,1)))</f>
        <v>-13900</v>
      </c>
      <c r="I19" s="30">
        <f t="shared" ca="1" si="14"/>
        <v>11030</v>
      </c>
      <c r="J19" s="70">
        <f t="shared" ca="1" si="15"/>
        <v>0.79352517985611515</v>
      </c>
    </row>
    <row r="20" spans="1:11" ht="15" customHeight="1" x14ac:dyDescent="0.35">
      <c r="A20" s="16" t="s">
        <v>107</v>
      </c>
      <c r="B20" s="101" t="s">
        <v>207</v>
      </c>
      <c r="C20" s="80">
        <f ca="1">IF(ISNA(MATCH(C$4-1,TBMonths,0))=TRUE,0,SUMIF(TBAll,$A20&amp;"*",OFFSET(TB!$C$4,1,MATCH(C$4-1,TBMonths,0),TBRowCount,1)))-IF(ISNA(MATCH(C$4,TBMonths,0))=TRUE,0,SUMIF(TBAll,$A20&amp;"*",OFFSET(TB!$C$4,1,MATCH(C$4,TBMonths,0),TBRowCount,1)))</f>
        <v>-73490</v>
      </c>
      <c r="D20" s="30">
        <f ca="1">IF(ISNA(MATCH(D$4-1,TBMonths,0))=TRUE,0,SUMIF(TBAll,$A20&amp;"*",OFFSET(TB!$C$4,1,MATCH(D$4-1,TBMonths,0),TBRowCount,1)))-IF(ISNA(MATCH(D$4,TBMonths,0))=TRUE,0,SUMIF(TBAll,$A20&amp;"*",OFFSET(TB!$C$4,1,MATCH(D$4,TBMonths,0),TBRowCount,1)))</f>
        <v>13330</v>
      </c>
      <c r="E20" s="30">
        <f t="shared" ref="E20" ca="1" si="20">C20-D20</f>
        <v>-86820</v>
      </c>
      <c r="F20" s="70">
        <f t="shared" ref="F20" ca="1" si="21">IF(D20=0,IF(E20=0,0,-1),E20/ABS(D20))</f>
        <v>-6.5131282820705172</v>
      </c>
      <c r="H20" s="80">
        <f ca="1">IF(ISNA(MATCH(H$4-1,TBMonths,0))=TRUE,0,SUMIF(TBAll,$A20&amp;"*",OFFSET(TB!$C$4,1,MATCH(H$4-1,TBMonths,0),TBRowCount,1)))-IF(ISNA(MATCH(H$4,TBMonths,0))=TRUE,0,SUMIF(TBAll,$A20&amp;"*",OFFSET(TB!$C$4,1,MATCH(H$4,TBMonths,0),TBRowCount,1)))</f>
        <v>54643</v>
      </c>
      <c r="I20" s="30">
        <f t="shared" ref="I20" ca="1" si="22">D20-H20</f>
        <v>-41313</v>
      </c>
      <c r="J20" s="70">
        <f t="shared" ref="J20" ca="1" si="23">IF(H20=0,IF(I20=0,0,-1),I20/ABS(H20))</f>
        <v>-0.75605292535182911</v>
      </c>
    </row>
    <row r="21" spans="1:11" ht="15" customHeight="1" x14ac:dyDescent="0.35">
      <c r="A21" s="16" t="s">
        <v>281</v>
      </c>
      <c r="B21" s="101" t="s">
        <v>283</v>
      </c>
      <c r="C21" s="80">
        <f ca="1">IF(ISNA(MATCH(C$4-1,TBMonths,0))=TRUE,0,SUMIF(TBAll,$A21&amp;"*",OFFSET(TB!$C$4,1,MATCH(C$4-1,TBMonths,0),TBRowCount,1)))-IF(ISNA(MATCH(C$4,TBMonths,0))=TRUE,0,SUMIF(TBAll,$A21&amp;"*",OFFSET(TB!$C$4,1,MATCH(C$4,TBMonths,0),TBRowCount,1)))</f>
        <v>12500</v>
      </c>
      <c r="D21" s="30">
        <f ca="1">IF(ISNA(MATCH(D$4-1,TBMonths,0))=TRUE,0,SUMIF(TBAll,$A21&amp;"*",OFFSET(TB!$C$4,1,MATCH(D$4-1,TBMonths,0),TBRowCount,1)))-IF(ISNA(MATCH(D$4,TBMonths,0))=TRUE,0,SUMIF(TBAll,$A21&amp;"*",OFFSET(TB!$C$4,1,MATCH(D$4,TBMonths,0),TBRowCount,1)))</f>
        <v>12000</v>
      </c>
      <c r="E21" s="30">
        <f t="shared" ca="1" si="12"/>
        <v>500</v>
      </c>
      <c r="F21" s="70">
        <f t="shared" ca="1" si="13"/>
        <v>4.1666666666666664E-2</v>
      </c>
      <c r="H21" s="80">
        <f ca="1">IF(ISNA(MATCH(H$4-1,TBMonths,0))=TRUE,0,SUMIF(TBAll,$A21&amp;"*",OFFSET(TB!$C$4,1,MATCH(H$4-1,TBMonths,0),TBRowCount,1)))-IF(ISNA(MATCH(H$4,TBMonths,0))=TRUE,0,SUMIF(TBAll,$A21&amp;"*",OFFSET(TB!$C$4,1,MATCH(H$4,TBMonths,0),TBRowCount,1)))</f>
        <v>9365</v>
      </c>
      <c r="I21" s="30">
        <f t="shared" ca="1" si="14"/>
        <v>2635</v>
      </c>
      <c r="J21" s="70">
        <f t="shared" ca="1" si="15"/>
        <v>0.28136679124399361</v>
      </c>
    </row>
    <row r="22" spans="1:11" ht="15" customHeight="1" x14ac:dyDescent="0.35">
      <c r="B22" s="101" t="s">
        <v>41</v>
      </c>
      <c r="C22" s="81">
        <f ca="1">SUM(C6:C21)</f>
        <v>683299</v>
      </c>
      <c r="D22" s="31">
        <f ca="1">SUM(D6:D21)</f>
        <v>531654</v>
      </c>
      <c r="E22" s="31">
        <f ca="1">SUM(E6:E21)</f>
        <v>151645</v>
      </c>
      <c r="F22" s="71">
        <f t="shared" ca="1" si="13"/>
        <v>0.28523250083701052</v>
      </c>
      <c r="H22" s="81">
        <f ca="1">SUM(H6:H21)</f>
        <v>532872</v>
      </c>
      <c r="I22" s="31">
        <f ca="1">SUM(I6:I21)</f>
        <v>-1218</v>
      </c>
      <c r="J22" s="71">
        <f t="shared" ca="1" si="15"/>
        <v>-2.2857271539881998E-3</v>
      </c>
    </row>
    <row r="23" spans="1:11" ht="15" customHeight="1" x14ac:dyDescent="0.35">
      <c r="A23" s="16" t="s">
        <v>108</v>
      </c>
      <c r="B23" s="101" t="s">
        <v>42</v>
      </c>
      <c r="C23" s="80">
        <f ca="1">IF(ISNA(MATCH(C$4-1,TBMonths,0))=TRUE,0,SUMIF(TBAll,$A23&amp;"*",OFFSET(TB!$C$4,1,MATCH(C$4-1,TBMonths,0),TBRowCount,1)))-IF(ISNA(MATCH(C$4,TBMonths,0))=TRUE,0,SUMIF(TBAll,$A23&amp;"*",OFFSET(TB!$C$4,1,MATCH(C$4,TBMonths,0),TBRowCount,1)))-C7</f>
        <v>-25566</v>
      </c>
      <c r="D23" s="30">
        <f ca="1">IF(ISNA(MATCH(D$4-1,TBMonths,0))=TRUE,0,SUMIF(TBAll,$A23&amp;"*",OFFSET(TB!$C$4,1,MATCH(D$4-1,TBMonths,0),TBRowCount,1)))-IF(ISNA(MATCH(D$4,TBMonths,0))=TRUE,0,SUMIF(TBAll,$A23&amp;"*",OFFSET(TB!$C$4,1,MATCH(D$4,TBMonths,0),TBRowCount,1)))-D7</f>
        <v>-35512</v>
      </c>
      <c r="E23" s="30">
        <f t="shared" ref="E23:E24" ca="1" si="24">C23-D23</f>
        <v>9946</v>
      </c>
      <c r="F23" s="70">
        <f t="shared" ca="1" si="13"/>
        <v>0.28007434106780804</v>
      </c>
      <c r="H23" s="80">
        <f ca="1">IF(ISNA(MATCH(H$4-1,TBMonths,0))=TRUE,0,SUMIF(TBAll,$A23&amp;"*",OFFSET(TB!$C$4,1,MATCH(H$4-1,TBMonths,0),TBRowCount,1)))-IF(ISNA(MATCH(H$4,TBMonths,0))=TRUE,0,SUMIF(TBAll,$A23&amp;"*",OFFSET(TB!$C$4,1,MATCH(H$4,TBMonths,0),TBRowCount,1)))-H7</f>
        <v>-45570</v>
      </c>
      <c r="I23" s="30">
        <f t="shared" ref="I23:I24" ca="1" si="25">D23-H23</f>
        <v>10058</v>
      </c>
      <c r="J23" s="70">
        <f t="shared" ca="1" si="15"/>
        <v>0.22071538292736451</v>
      </c>
    </row>
    <row r="24" spans="1:11" ht="15" customHeight="1" x14ac:dyDescent="0.35">
      <c r="A24" s="16" t="s">
        <v>109</v>
      </c>
      <c r="B24" s="101" t="s">
        <v>43</v>
      </c>
      <c r="C24" s="80">
        <f ca="1">IF(ISNA(MATCH(C$4-1,TBMonths,0))=TRUE,0,SUMIF(TBAll,$A24&amp;"*",OFFSET(TB!$C$4,1,MATCH(C$4-1,TBMonths,0),TBRowCount,1)))-IF(ISNA(MATCH(C$4,TBMonths,0))=TRUE,0,SUMIF(TBAll,$A24&amp;"*",OFFSET(TB!$C$4,1,MATCH(C$4,TBMonths,0),TBRowCount,1)))+IF(ISNA(MATCH(C$4-1,TBMonths,0))=TRUE,0,SUMIF(TBAll,"B-DTAX*",OFFSET(TB!$C$4,1,MATCH(C$4-1,TBMonths,0),TBRowCount,1)))-IF(ISNA(MATCH(C$4,TBMonths,0))=TRUE,0,SUMIF(TBAll,"B-DTAX*",OFFSET(TB!$C$4,1,MATCH(C$4,TBMonths,0),TBRowCount,1)))-C8</f>
        <v>-190316</v>
      </c>
      <c r="D24" s="30">
        <f ca="1">IF(ISNA(MATCH(D$4-1,TBMonths,0))=TRUE,0,SUMIF(TBAll,$A24&amp;"*",OFFSET(TB!$C$4,1,MATCH(D$4-1,TBMonths,0),TBRowCount,1)))-IF(ISNA(MATCH(D$4,TBMonths,0))=TRUE,0,SUMIF(TBAll,$A24&amp;"*",OFFSET(TB!$C$4,1,MATCH(D$4,TBMonths,0),TBRowCount,1)))+IF(ISNA(MATCH(D$4-1,TBMonths,0))=TRUE,0,SUMIF(TBAll,"B-DTAX*",OFFSET(TB!$C$4,1,MATCH(D$4-1,TBMonths,0),TBRowCount,1)))-IF(ISNA(MATCH(D$4,TBMonths,0))=TRUE,0,SUMIF(TBAll,"B-DTAX*",OFFSET(TB!$C$4,1,MATCH(D$4,TBMonths,0),TBRowCount,1)))-D8</f>
        <v>-173211</v>
      </c>
      <c r="E24" s="30">
        <f t="shared" ca="1" si="24"/>
        <v>-17105</v>
      </c>
      <c r="F24" s="70">
        <f t="shared" ca="1" si="13"/>
        <v>-9.8752388705105332E-2</v>
      </c>
      <c r="H24" s="80">
        <f ca="1">IF(ISNA(MATCH(H$4-1,TBMonths,0))=TRUE,0,SUMIF(TBAll,$A24&amp;"*",OFFSET(TB!$C$4,1,MATCH(H$4-1,TBMonths,0),TBRowCount,1)))-IF(ISNA(MATCH(H$4,TBMonths,0))=TRUE,0,SUMIF(TBAll,$A24&amp;"*",OFFSET(TB!$C$4,1,MATCH(H$4,TBMonths,0),TBRowCount,1)))+IF(ISNA(MATCH(H$4-1,TBMonths,0))=TRUE,0,SUMIF(TBAll,"B-DTAX*",OFFSET(TB!$C$4,1,MATCH(H$4-1,TBMonths,0),TBRowCount,1)))-IF(ISNA(MATCH(H$4,TBMonths,0))=TRUE,0,SUMIF(TBAll,"B-DTAX*",OFFSET(TB!$C$4,1,MATCH(H$4,TBMonths,0),TBRowCount,1)))-H8</f>
        <v>-85654</v>
      </c>
      <c r="I24" s="30">
        <f t="shared" ca="1" si="25"/>
        <v>-87557</v>
      </c>
      <c r="J24" s="70">
        <f t="shared" ca="1" si="15"/>
        <v>-1.0222172928292899</v>
      </c>
    </row>
    <row r="25" spans="1:11" s="26" customFormat="1" ht="15" customHeight="1" x14ac:dyDescent="0.35">
      <c r="A25" s="28"/>
      <c r="B25" s="100" t="s">
        <v>39</v>
      </c>
      <c r="C25" s="86">
        <f ca="1">SUM(C22:C24)</f>
        <v>467417</v>
      </c>
      <c r="D25" s="41">
        <f ca="1">SUM(D22:D24)</f>
        <v>322931</v>
      </c>
      <c r="E25" s="41">
        <f ca="1">SUM(E22:E24)</f>
        <v>144486</v>
      </c>
      <c r="F25" s="78">
        <f t="shared" ca="1" si="13"/>
        <v>0.44742065642505674</v>
      </c>
      <c r="G25"/>
      <c r="H25" s="86">
        <f ca="1">SUM(H22:H24)</f>
        <v>401648</v>
      </c>
      <c r="I25" s="41">
        <f ca="1">SUM(I22:I24)</f>
        <v>-78717</v>
      </c>
      <c r="J25" s="78">
        <f t="shared" ca="1" si="15"/>
        <v>-0.19598504162849062</v>
      </c>
      <c r="K25" s="25"/>
    </row>
    <row r="26" spans="1:11" ht="15" customHeight="1" x14ac:dyDescent="0.35">
      <c r="B26" s="101"/>
      <c r="C26" s="80"/>
      <c r="D26" s="30"/>
      <c r="E26" s="30"/>
      <c r="F26" s="70"/>
      <c r="H26" s="80"/>
      <c r="I26" s="30"/>
      <c r="J26" s="70"/>
    </row>
    <row r="27" spans="1:11" s="26" customFormat="1" ht="15" customHeight="1" x14ac:dyDescent="0.35">
      <c r="A27" s="28"/>
      <c r="B27" s="100" t="s">
        <v>40</v>
      </c>
      <c r="C27" s="94"/>
      <c r="D27" s="68"/>
      <c r="E27" s="68"/>
      <c r="F27" s="91"/>
      <c r="G27"/>
      <c r="H27" s="94"/>
      <c r="I27" s="68"/>
      <c r="J27" s="91"/>
      <c r="K27" s="25"/>
    </row>
    <row r="28" spans="1:11" ht="15" customHeight="1" x14ac:dyDescent="0.35">
      <c r="A28" s="16" t="s">
        <v>197</v>
      </c>
      <c r="B28" s="101" t="s">
        <v>44</v>
      </c>
      <c r="C28" s="80">
        <f ca="1">IF(ISNA(MATCH(C$4-1,TBMonths,0))=TRUE,0,SUMIF(TBAll,$A28&amp;"*",OFFSET(TB!$C$4,1,MATCH(C$4-1,TBMonths,0),TBRowCount,1)))-IF(ISNA(MATCH(C$4,TBMonths,0))=TRUE,0,SUMIF(TBAll,$A28&amp;"*",OFFSET(TB!$C$4,1,MATCH(C$4,TBMonths,0),TBRowCount,1)))-C12</f>
        <v>-324000</v>
      </c>
      <c r="D28" s="30">
        <f ca="1">IF(ISNA(MATCH(D$4-1,TBMonths,0))=TRUE,0,SUMIF(TBAll,$A28&amp;"*",OFFSET(TB!$C$4,1,MATCH(D$4-1,TBMonths,0),TBRowCount,1)))-IF(ISNA(MATCH(D$4,TBMonths,0))=TRUE,0,SUMIF(TBAll,$A28&amp;"*",OFFSET(TB!$C$4,1,MATCH(D$4,TBMonths,0),TBRowCount,1)))-D12</f>
        <v>-327368</v>
      </c>
      <c r="E28" s="30">
        <f t="shared" ref="E28:E32" ca="1" si="26">C28-D28</f>
        <v>3368</v>
      </c>
      <c r="F28" s="70">
        <f t="shared" ref="F28:F33" ca="1" si="27">IF(D28=0,IF(E28=0,0,-1),E28/ABS(D28))</f>
        <v>1.0288116126194374E-2</v>
      </c>
      <c r="H28" s="80">
        <f ca="1">IF(ISNA(MATCH(H$4-1,TBMonths,0))=TRUE,0,SUMIF(TBAll,$A28&amp;"*",OFFSET(TB!$C$4,1,MATCH(H$4-1,TBMonths,0),TBRowCount,1)))-IF(ISNA(MATCH(H$4,TBMonths,0))=TRUE,0,SUMIF(TBAll,$A28&amp;"*",OFFSET(TB!$C$4,1,MATCH(H$4,TBMonths,0),TBRowCount,1)))-H12</f>
        <v>-694677</v>
      </c>
      <c r="I28" s="30">
        <f t="shared" ref="I28:I32" ca="1" si="28">D28-H28</f>
        <v>367309</v>
      </c>
      <c r="J28" s="70">
        <f t="shared" ref="J28:J33" ca="1" si="29">IF(H28=0,IF(I28=0,0,-1),I28/ABS(H28))</f>
        <v>0.52874789290562374</v>
      </c>
    </row>
    <row r="29" spans="1:11" ht="15" customHeight="1" x14ac:dyDescent="0.35">
      <c r="A29" s="16" t="s">
        <v>198</v>
      </c>
      <c r="B29" s="101" t="s">
        <v>46</v>
      </c>
      <c r="C29" s="80">
        <f ca="1">IF(ISNA(MATCH(C$4-1,TBMonths,0))=TRUE,0,SUMIF(TBAll,$A29&amp;"*",OFFSET(TB!$C$4,1,MATCH(C$4-1,TBMonths,0),TBRowCount,1)))-IF(ISNA(MATCH(C$4,TBMonths,0))=TRUE,0,SUMIF(TBAll,$A29&amp;"*",OFFSET(TB!$C$4,1,MATCH(C$4,TBMonths,0),TBRowCount,1)))-C13</f>
        <v>-12000</v>
      </c>
      <c r="D29" s="30">
        <f ca="1">IF(ISNA(MATCH(D$4-1,TBMonths,0))=TRUE,0,SUMIF(TBAll,$A29&amp;"*",OFFSET(TB!$C$4,1,MATCH(D$4-1,TBMonths,0),TBRowCount,1)))-IF(ISNA(MATCH(D$4,TBMonths,0))=TRUE,0,SUMIF(TBAll,$A29&amp;"*",OFFSET(TB!$C$4,1,MATCH(D$4,TBMonths,0),TBRowCount,1)))-D13</f>
        <v>-10000</v>
      </c>
      <c r="E29" s="30">
        <f t="shared" ca="1" si="26"/>
        <v>-2000</v>
      </c>
      <c r="F29" s="70">
        <f t="shared" ca="1" si="27"/>
        <v>-0.2</v>
      </c>
      <c r="H29" s="80">
        <f ca="1">IF(ISNA(MATCH(H$4-1,TBMonths,0))=TRUE,0,SUMIF(TBAll,$A29&amp;"*",OFFSET(TB!$C$4,1,MATCH(H$4-1,TBMonths,0),TBRowCount,1)))-IF(ISNA(MATCH(H$4,TBMonths,0))=TRUE,0,SUMIF(TBAll,$A29&amp;"*",OFFSET(TB!$C$4,1,MATCH(H$4,TBMonths,0),TBRowCount,1)))-H13</f>
        <v>0</v>
      </c>
      <c r="I29" s="30">
        <f t="shared" ca="1" si="28"/>
        <v>-10000</v>
      </c>
      <c r="J29" s="70">
        <f t="shared" ca="1" si="29"/>
        <v>-1</v>
      </c>
    </row>
    <row r="30" spans="1:11" ht="15" customHeight="1" x14ac:dyDescent="0.35">
      <c r="A30" s="16" t="s">
        <v>103</v>
      </c>
      <c r="B30" s="101" t="s">
        <v>45</v>
      </c>
      <c r="C30" s="80">
        <f ca="1">IF(ISNA(MATCH(C$4-1,TBMonths,0))=TRUE,0,SUMIF(TBAll,$A30&amp;"*",OFFSET(TB!$C$4,1,MATCH(C$4-1,TBMonths,0),TBRowCount,1)))-IF(ISNA(MATCH(C$4,TBMonths,0))=TRUE,0,SUMIF(TBAll,$A30&amp;"*",OFFSET(TB!$C$4,1,MATCH(C$4,TBMonths,0),TBRowCount,1)))</f>
        <v>-10000</v>
      </c>
      <c r="D30" s="30">
        <f ca="1">IF(ISNA(MATCH(D$4-1,TBMonths,0))=TRUE,0,SUMIF(TBAll,$A30&amp;"*",OFFSET(TB!$C$4,1,MATCH(D$4-1,TBMonths,0),TBRowCount,1)))-IF(ISNA(MATCH(D$4,TBMonths,0))=TRUE,0,SUMIF(TBAll,$A30&amp;"*",OFFSET(TB!$C$4,1,MATCH(D$4,TBMonths,0),TBRowCount,1)))</f>
        <v>-25000</v>
      </c>
      <c r="E30" s="30">
        <f t="shared" ca="1" si="26"/>
        <v>15000</v>
      </c>
      <c r="F30" s="70">
        <f t="shared" ca="1" si="27"/>
        <v>0.6</v>
      </c>
      <c r="H30" s="80">
        <f ca="1">IF(ISNA(MATCH(H$4-1,TBMonths,0))=TRUE,0,SUMIF(TBAll,$A30&amp;"*",OFFSET(TB!$C$4,1,MATCH(H$4-1,TBMonths,0),TBRowCount,1)))-IF(ISNA(MATCH(H$4,TBMonths,0))=TRUE,0,SUMIF(TBAll,$A30&amp;"*",OFFSET(TB!$C$4,1,MATCH(H$4,TBMonths,0),TBRowCount,1)))</f>
        <v>-40000</v>
      </c>
      <c r="I30" s="30">
        <f t="shared" ca="1" si="28"/>
        <v>15000</v>
      </c>
      <c r="J30" s="70">
        <f t="shared" ca="1" si="29"/>
        <v>0.375</v>
      </c>
    </row>
    <row r="31" spans="1:11" ht="15" customHeight="1" x14ac:dyDescent="0.35">
      <c r="B31" s="101" t="s">
        <v>47</v>
      </c>
      <c r="C31" s="80">
        <f ca="1">-C9</f>
        <v>22999</v>
      </c>
      <c r="D31" s="30">
        <f ca="1">-D9</f>
        <v>14385</v>
      </c>
      <c r="E31" s="30">
        <f t="shared" ca="1" si="26"/>
        <v>8614</v>
      </c>
      <c r="F31" s="70">
        <f t="shared" ca="1" si="27"/>
        <v>0.59881821341675356</v>
      </c>
      <c r="H31" s="80">
        <f ca="1">-H9</f>
        <v>19846</v>
      </c>
      <c r="I31" s="30">
        <f t="shared" ca="1" si="28"/>
        <v>-5461</v>
      </c>
      <c r="J31" s="70">
        <f t="shared" ca="1" si="29"/>
        <v>-0.27516879975813768</v>
      </c>
    </row>
    <row r="32" spans="1:11" ht="15" customHeight="1" x14ac:dyDescent="0.35">
      <c r="B32" s="101" t="s">
        <v>54</v>
      </c>
      <c r="C32" s="80">
        <f ca="1">-C10</f>
        <v>27000</v>
      </c>
      <c r="D32" s="30">
        <f ca="1">-D10</f>
        <v>25000</v>
      </c>
      <c r="E32" s="30">
        <f t="shared" ca="1" si="26"/>
        <v>2000</v>
      </c>
      <c r="F32" s="70">
        <f t="shared" ca="1" si="27"/>
        <v>0.08</v>
      </c>
      <c r="H32" s="80">
        <f ca="1">-H10</f>
        <v>25000</v>
      </c>
      <c r="I32" s="30">
        <f t="shared" ca="1" si="28"/>
        <v>0</v>
      </c>
      <c r="J32" s="70">
        <f t="shared" ca="1" si="29"/>
        <v>0</v>
      </c>
    </row>
    <row r="33" spans="1:11" s="26" customFormat="1" ht="15" customHeight="1" x14ac:dyDescent="0.35">
      <c r="A33" s="28"/>
      <c r="B33" s="100" t="s">
        <v>48</v>
      </c>
      <c r="C33" s="86">
        <f ca="1">SUM(C28:C32)</f>
        <v>-296001</v>
      </c>
      <c r="D33" s="41">
        <f ca="1">SUM(D28:D32)</f>
        <v>-322983</v>
      </c>
      <c r="E33" s="41">
        <f ca="1">SUM(E28:E32)</f>
        <v>26982</v>
      </c>
      <c r="F33" s="78">
        <f t="shared" ca="1" si="27"/>
        <v>8.3540000557304872E-2</v>
      </c>
      <c r="G33"/>
      <c r="H33" s="86">
        <f ca="1">SUM(H28:H32)</f>
        <v>-689831</v>
      </c>
      <c r="I33" s="41">
        <f ca="1">SUM(I28:I32)</f>
        <v>366848</v>
      </c>
      <c r="J33" s="78">
        <f t="shared" ca="1" si="29"/>
        <v>0.53179401911482671</v>
      </c>
      <c r="K33" s="25"/>
    </row>
    <row r="34" spans="1:11" ht="15" customHeight="1" x14ac:dyDescent="0.35">
      <c r="B34" s="101"/>
      <c r="C34" s="80"/>
      <c r="D34" s="30"/>
      <c r="E34" s="30"/>
      <c r="F34" s="70"/>
      <c r="H34" s="80"/>
      <c r="I34" s="30"/>
      <c r="J34" s="70"/>
    </row>
    <row r="35" spans="1:11" s="26" customFormat="1" ht="15" customHeight="1" x14ac:dyDescent="0.35">
      <c r="A35" s="28"/>
      <c r="B35" s="100" t="s">
        <v>49</v>
      </c>
      <c r="C35" s="94"/>
      <c r="D35" s="68"/>
      <c r="E35" s="68"/>
      <c r="F35" s="91"/>
      <c r="G35"/>
      <c r="H35" s="94"/>
      <c r="I35" s="68"/>
      <c r="J35" s="91"/>
      <c r="K35" s="25"/>
    </row>
    <row r="36" spans="1:11" ht="15" customHeight="1" x14ac:dyDescent="0.35">
      <c r="A36" s="16" t="s">
        <v>114</v>
      </c>
      <c r="B36" s="101" t="s">
        <v>50</v>
      </c>
      <c r="C36" s="80">
        <f ca="1">IF(ISNA(MATCH(C$4-1,TBMonths,0))=TRUE,0,SUMIF(TBAll,$A36&amp;"*",OFFSET(TB!$C$4,1,MATCH(C$4-1,TBMonths,0),TBRowCount,1)))-IF(ISNA(MATCH(C$4,TBMonths,0))=TRUE,0,SUMIF(TBAll,$A36&amp;"*",OFFSET(TB!$C$4,1,MATCH(C$4,TBMonths,0),TBRowCount,1)))</f>
        <v>5000</v>
      </c>
      <c r="D36" s="30">
        <f ca="1">IF(ISNA(MATCH(D$4-1,TBMonths,0))=TRUE,0,SUMIF(TBAll,$A36&amp;"*",OFFSET(TB!$C$4,1,MATCH(D$4-1,TBMonths,0),TBRowCount,1)))-IF(ISNA(MATCH(D$4,TBMonths,0))=TRUE,0,SUMIF(TBAll,$A36&amp;"*",OFFSET(TB!$C$4,1,MATCH(D$4,TBMonths,0),TBRowCount,1)))</f>
        <v>10000</v>
      </c>
      <c r="E36" s="30">
        <f t="shared" ref="E36:E39" ca="1" si="30">C36-D36</f>
        <v>-5000</v>
      </c>
      <c r="F36" s="70">
        <f t="shared" ref="F36:F40" ca="1" si="31">IF(D36=0,IF(E36=0,0,-1),E36/ABS(D36))</f>
        <v>-0.5</v>
      </c>
      <c r="H36" s="80">
        <f ca="1">IF(ISNA(MATCH(H$4-1,TBMonths,0))=TRUE,0,SUMIF(TBAll,$A36&amp;"*",OFFSET(TB!$C$4,1,MATCH(H$4-1,TBMonths,0),TBRowCount,1)))-IF(ISNA(MATCH(H$4,TBMonths,0))=TRUE,0,SUMIF(TBAll,$A36&amp;"*",OFFSET(TB!$C$4,1,MATCH(H$4,TBMonths,0),TBRowCount,1)))</f>
        <v>0</v>
      </c>
      <c r="I36" s="30">
        <f t="shared" ref="I36:I39" ca="1" si="32">D36-H36</f>
        <v>10000</v>
      </c>
      <c r="J36" s="70">
        <f t="shared" ref="J36:J40" ca="1" si="33">IF(H36=0,IF(I36=0,0,-1),I36/ABS(H36))</f>
        <v>-1</v>
      </c>
    </row>
    <row r="37" spans="1:11" ht="15" customHeight="1" x14ac:dyDescent="0.35">
      <c r="A37" s="16" t="s">
        <v>105</v>
      </c>
      <c r="B37" s="101" t="s">
        <v>220</v>
      </c>
      <c r="C37" s="80">
        <f ca="1">IF(ISNA(MATCH(C$4-1,TBMonths,0))=TRUE,0,SUMIF(TBAll,$A37&amp;"*",OFFSET(TB!$C$4,1,MATCH(C$4-1,TBMonths,0),TBRowCount,1)))-IF(ISNA(MATCH(C$4,TBMonths,0))=TRUE,0,SUMIF(TBAll,$A37&amp;"*",OFFSET(TB!$C$4,1,MATCH(C$4,TBMonths,0),TBRowCount,1)))</f>
        <v>-10000</v>
      </c>
      <c r="D37" s="30">
        <f ca="1">IF(ISNA(MATCH(D$4-1,TBMonths,0))=TRUE,0,SUMIF(TBAll,$A37&amp;"*",OFFSET(TB!$C$4,1,MATCH(D$4-1,TBMonths,0),TBRowCount,1)))-IF(ISNA(MATCH(D$4,TBMonths,0))=TRUE,0,SUMIF(TBAll,$A37&amp;"*",OFFSET(TB!$C$4,1,MATCH(D$4,TBMonths,0),TBRowCount,1)))</f>
        <v>10000</v>
      </c>
      <c r="E37" s="30">
        <f t="shared" ca="1" si="30"/>
        <v>-20000</v>
      </c>
      <c r="F37" s="70">
        <f t="shared" ca="1" si="31"/>
        <v>-2</v>
      </c>
      <c r="H37" s="80">
        <f ca="1">IF(ISNA(MATCH(H$4-1,TBMonths,0))=TRUE,0,SUMIF(TBAll,$A37&amp;"*",OFFSET(TB!$C$4,1,MATCH(H$4-1,TBMonths,0),TBRowCount,1)))-IF(ISNA(MATCH(H$4,TBMonths,0))=TRUE,0,SUMIF(TBAll,$A37&amp;"*",OFFSET(TB!$C$4,1,MATCH(H$4,TBMonths,0),TBRowCount,1)))</f>
        <v>100000</v>
      </c>
      <c r="I37" s="30">
        <f t="shared" ca="1" si="32"/>
        <v>-90000</v>
      </c>
      <c r="J37" s="70">
        <f t="shared" ca="1" si="33"/>
        <v>-0.9</v>
      </c>
    </row>
    <row r="38" spans="1:11" ht="15" customHeight="1" x14ac:dyDescent="0.35">
      <c r="A38" s="16" t="s">
        <v>106</v>
      </c>
      <c r="B38" s="101" t="s">
        <v>90</v>
      </c>
      <c r="C38" s="80">
        <f ca="1">IF(ISNA(MATCH(C$4-1,TBMonths,0))=TRUE,0,SUMIF(TBAll,$A38&amp;"*",OFFSET(TB!$C$4,1,MATCH(C$4-1,TBMonths,0),TBRowCount,1)))-IF(ISNA(MATCH(C$4,TBMonths,0))=TRUE,0,SUMIF(TBAll,$A38&amp;"*",OFFSET(TB!$C$4,1,MATCH(C$4,TBMonths,0),TBRowCount,1)))</f>
        <v>-19884</v>
      </c>
      <c r="D38" s="30">
        <f ca="1">IF(ISNA(MATCH(D$4-1,TBMonths,0))=TRUE,0,SUMIF(TBAll,$A38&amp;"*",OFFSET(TB!$C$4,1,MATCH(D$4-1,TBMonths,0),TBRowCount,1)))-IF(ISNA(MATCH(D$4,TBMonths,0))=TRUE,0,SUMIF(TBAll,$A38&amp;"*",OFFSET(TB!$C$4,1,MATCH(D$4,TBMonths,0),TBRowCount,1)))</f>
        <v>-18423</v>
      </c>
      <c r="E38" s="30">
        <f t="shared" ca="1" si="30"/>
        <v>-1461</v>
      </c>
      <c r="F38" s="70">
        <f t="shared" ca="1" si="31"/>
        <v>-7.9303045106660155E-2</v>
      </c>
      <c r="H38" s="80">
        <f ca="1">IF(ISNA(MATCH(H$4-1,TBMonths,0))=TRUE,0,SUMIF(TBAll,$A38&amp;"*",OFFSET(TB!$C$4,1,MATCH(H$4-1,TBMonths,0),TBRowCount,1)))-IF(ISNA(MATCH(H$4,TBMonths,0))=TRUE,0,SUMIF(TBAll,$A38&amp;"*",OFFSET(TB!$C$4,1,MATCH(H$4,TBMonths,0),TBRowCount,1)))</f>
        <v>82931</v>
      </c>
      <c r="I38" s="30">
        <f t="shared" ca="1" si="32"/>
        <v>-101354</v>
      </c>
      <c r="J38" s="70">
        <f t="shared" ca="1" si="33"/>
        <v>-1.2221485331178932</v>
      </c>
    </row>
    <row r="39" spans="1:11" ht="15" customHeight="1" x14ac:dyDescent="0.35">
      <c r="A39" s="16" t="s">
        <v>110</v>
      </c>
      <c r="B39" s="101" t="s">
        <v>51</v>
      </c>
      <c r="C39" s="80">
        <f ca="1">IF(ISNA(MATCH(C$4-1,TBMonths,0))=TRUE,0,SUMIF(TBAll,$A39&amp;"*",OFFSET(TB!$C$4,1,MATCH(C$4-1,TBMonths,0),TBRowCount,1)))-IF(ISNA(MATCH(C$4,TBMonths,0))=TRUE,0,SUMIF(TBAll,$A39&amp;"*",OFFSET(TB!$C$4,1,MATCH(C$4,TBMonths,0),TBRowCount,1)))-IS!C39</f>
        <v>-100000</v>
      </c>
      <c r="D39" s="30">
        <f ca="1">IF(ISNA(MATCH(D$4-1,TBMonths,0))=TRUE,0,SUMIF(TBAll,$A39&amp;"*",OFFSET(TB!$C$4,1,MATCH(D$4-1,TBMonths,0),TBRowCount,1)))-IF(ISNA(MATCH(D$4,TBMonths,0))=TRUE,0,SUMIF(TBAll,$A39&amp;"*",OFFSET(TB!$C$4,1,MATCH(D$4,TBMonths,0),TBRowCount,1)))-IS!D39</f>
        <v>-80000</v>
      </c>
      <c r="E39" s="30">
        <f t="shared" ca="1" si="30"/>
        <v>-20000</v>
      </c>
      <c r="F39" s="70">
        <f t="shared" ca="1" si="31"/>
        <v>-0.25</v>
      </c>
      <c r="H39" s="80">
        <f ca="1">IF(ISNA(MATCH(H$4-1,TBMonths,0))=TRUE,0,SUMIF(TBAll,$A39&amp;"*",OFFSET(TB!$C$4,1,MATCH(H$4-1,TBMonths,0),TBRowCount,1)))-IF(ISNA(MATCH(H$4,TBMonths,0))=TRUE,0,SUMIF(TBAll,$A39&amp;"*",OFFSET(TB!$C$4,1,MATCH(H$4,TBMonths,0),TBRowCount,1)))-IS!H39</f>
        <v>-40000</v>
      </c>
      <c r="I39" s="30">
        <f t="shared" ca="1" si="32"/>
        <v>-40000</v>
      </c>
      <c r="J39" s="70">
        <f t="shared" ca="1" si="33"/>
        <v>-1</v>
      </c>
    </row>
    <row r="40" spans="1:11" s="26" customFormat="1" ht="15" customHeight="1" x14ac:dyDescent="0.35">
      <c r="A40" s="28"/>
      <c r="B40" s="100" t="s">
        <v>52</v>
      </c>
      <c r="C40" s="86">
        <f ca="1">SUM(C36:C39)</f>
        <v>-124884</v>
      </c>
      <c r="D40" s="41">
        <f ca="1">SUM(D36:D39)</f>
        <v>-78423</v>
      </c>
      <c r="E40" s="41">
        <f ca="1">SUM(E36:E39)</f>
        <v>-46461</v>
      </c>
      <c r="F40" s="78">
        <f t="shared" ca="1" si="31"/>
        <v>-0.59244099307601084</v>
      </c>
      <c r="G40"/>
      <c r="H40" s="86">
        <f ca="1">SUM(H36:H39)</f>
        <v>142931</v>
      </c>
      <c r="I40" s="41">
        <f ca="1">SUM(I36:I39)</f>
        <v>-221354</v>
      </c>
      <c r="J40" s="78">
        <f t="shared" ca="1" si="33"/>
        <v>-1.5486773338184159</v>
      </c>
      <c r="K40" s="25"/>
    </row>
    <row r="41" spans="1:11" ht="15" customHeight="1" x14ac:dyDescent="0.35">
      <c r="B41" s="101"/>
      <c r="C41" s="80"/>
      <c r="D41" s="30"/>
      <c r="E41" s="30"/>
      <c r="F41" s="70"/>
      <c r="H41" s="80"/>
      <c r="I41" s="30"/>
      <c r="J41" s="70"/>
    </row>
    <row r="42" spans="1:11" ht="15" customHeight="1" x14ac:dyDescent="0.35">
      <c r="B42" s="101" t="s">
        <v>211</v>
      </c>
      <c r="C42" s="80">
        <f ca="1">SUM(C25,C33,C40)</f>
        <v>46532</v>
      </c>
      <c r="D42" s="30">
        <f ca="1">SUM(D25,D33,D40)</f>
        <v>-78475</v>
      </c>
      <c r="E42" s="30">
        <f t="shared" ref="E42:E43" ca="1" si="34">C42-D42</f>
        <v>125007</v>
      </c>
      <c r="F42" s="70">
        <f t="shared" ref="F42:F44" ca="1" si="35">IF(D42=0,IF(E42=0,0,-1),E42/ABS(D42))</f>
        <v>1.5929531697992991</v>
      </c>
      <c r="H42" s="80">
        <f ca="1">SUM(H25,H33,H40)</f>
        <v>-145252</v>
      </c>
      <c r="I42" s="30">
        <f t="shared" ref="I42:I43" ca="1" si="36">D42-H42</f>
        <v>66777</v>
      </c>
      <c r="J42" s="70">
        <f t="shared" ref="J42:J44" ca="1" si="37">IF(H42=0,IF(I42=0,0,-1),I42/ABS(H42))</f>
        <v>0.45973205188224603</v>
      </c>
    </row>
    <row r="43" spans="1:11" ht="15" customHeight="1" x14ac:dyDescent="0.35">
      <c r="A43" s="16" t="s">
        <v>111</v>
      </c>
      <c r="B43" s="101" t="s">
        <v>208</v>
      </c>
      <c r="C43" s="80">
        <f ca="1">IF(ISNA(MATCH(C$4-1,TBMonths,0))=TRUE,0,SUMIF(TBAll,$A43&amp;"*",OFFSET(TB!$C$4,1,MATCH(C$4-1,TBMonths,0),TBRowCount,1)))+IF(ISNA(MATCH(C$4-1,TBMonths,0))=TRUE,0,SUMIF(TBAll,"B-BANK*",OFFSET(TB!$C$4,1,MATCH(C$4-1,TBMonths,0),TBRowCount,1)))</f>
        <v>-80432</v>
      </c>
      <c r="D43" s="30">
        <f ca="1">IF(ISNA(MATCH(D$4-1,TBMonths,0))=TRUE,0,SUMIF(TBAll,$A43&amp;"*",OFFSET(TB!$C$4,1,MATCH(D$4-1,TBMonths,0),TBRowCount,1)))+IF(ISNA(MATCH(D$4-1,TBMonths,0))=TRUE,0,SUMIF(TBAll,"B-BANK*",OFFSET(TB!$C$4,1,MATCH(D$4-1,TBMonths,0),TBRowCount,1)))</f>
        <v>-1957</v>
      </c>
      <c r="E43" s="30">
        <f t="shared" ca="1" si="34"/>
        <v>-78475</v>
      </c>
      <c r="F43" s="70">
        <f t="shared" ca="1" si="35"/>
        <v>-40.099642309657639</v>
      </c>
      <c r="H43" s="80">
        <f ca="1">IF(ISNA(MATCH(H$4-1,TBMonths,0))=TRUE,0,SUMIF(TBAll,$A43&amp;"*",OFFSET(TB!$C$4,1,MATCH(H$4-1,TBMonths,0),TBRowCount,1)))+IF(ISNA(MATCH(H$4-1,TBMonths,0))=TRUE,0,SUMIF(TBAll,"B-BANK*",OFFSET(TB!$C$4,1,MATCH(H$4-1,TBMonths,0),TBRowCount,1)))</f>
        <v>143295</v>
      </c>
      <c r="I43" s="30">
        <f t="shared" ca="1" si="36"/>
        <v>-145252</v>
      </c>
      <c r="J43" s="70">
        <f t="shared" ca="1" si="37"/>
        <v>-1.0136571408632542</v>
      </c>
    </row>
    <row r="44" spans="1:11" s="26" customFormat="1" ht="15" customHeight="1" thickBot="1" x14ac:dyDescent="0.4">
      <c r="A44" s="16"/>
      <c r="B44" s="102" t="s">
        <v>209</v>
      </c>
      <c r="C44" s="87">
        <f ca="1">SUM(C42:C43)</f>
        <v>-33900</v>
      </c>
      <c r="D44" s="38">
        <f ca="1">SUM(D42:D43)</f>
        <v>-80432</v>
      </c>
      <c r="E44" s="38">
        <f ca="1">SUM(E42:E43)</f>
        <v>46532</v>
      </c>
      <c r="F44" s="79">
        <f t="shared" ca="1" si="35"/>
        <v>0.57852595981698829</v>
      </c>
      <c r="G44"/>
      <c r="H44" s="87">
        <f ca="1">SUM(H42:H43)</f>
        <v>-1957</v>
      </c>
      <c r="I44" s="38">
        <f ca="1">SUM(I42:I43)</f>
        <v>-78475</v>
      </c>
      <c r="J44" s="79">
        <f t="shared" ca="1" si="37"/>
        <v>-40.099642309657639</v>
      </c>
      <c r="K44" s="25"/>
    </row>
    <row r="45" spans="1:11" ht="15" customHeight="1" thickTop="1" x14ac:dyDescent="0.35"/>
    <row r="46" spans="1:11" s="49" customFormat="1" ht="15" customHeight="1" x14ac:dyDescent="0.35">
      <c r="A46" s="16"/>
      <c r="B46" s="45" t="s">
        <v>221</v>
      </c>
      <c r="C46" s="46">
        <f ca="1">SUM(BS!C15,BS!C16,-BS!C32)</f>
        <v>-33900</v>
      </c>
      <c r="D46" s="46">
        <f ca="1">SUM(BS!D15,BS!D16,-BS!D32)</f>
        <v>-80432</v>
      </c>
      <c r="E46" s="46"/>
      <c r="F46" s="47"/>
      <c r="G46"/>
      <c r="H46" s="46">
        <f ca="1">SUM(BS!H15,BS!H16,-BS!H32)</f>
        <v>-1957</v>
      </c>
      <c r="I46" s="46"/>
      <c r="J46" s="47"/>
      <c r="K46" s="48"/>
    </row>
  </sheetData>
  <conditionalFormatting sqref="H44 C44:D44">
    <cfRule type="expression" dxfId="10" priority="1" stopIfTrue="1">
      <formula>ROUND(C44-C46,0)&lt;&gt;0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E22 I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zoomScale="95" zoomScaleNormal="95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328125" defaultRowHeight="15" customHeight="1" x14ac:dyDescent="0.35"/>
  <cols>
    <col min="1" max="1" width="8.73046875" style="16" customWidth="1"/>
    <col min="2" max="2" width="35.73046875" style="8" customWidth="1"/>
    <col min="3" max="5" width="14.73046875" style="29" customWidth="1"/>
    <col min="6" max="6" width="12.73046875" style="35" customWidth="1"/>
    <col min="7" max="7" width="2.73046875" customWidth="1"/>
    <col min="8" max="9" width="14.73046875" style="29" customWidth="1"/>
    <col min="10" max="10" width="12.73046875" style="35" customWidth="1"/>
    <col min="11" max="11" width="2.73046875" style="9" customWidth="1"/>
    <col min="12" max="14" width="14.73046875" style="2" customWidth="1"/>
    <col min="15" max="15" width="2.73046875" style="2" customWidth="1"/>
    <col min="16" max="18" width="14.73046875" style="2" customWidth="1"/>
    <col min="19" max="19" width="2.73046875" style="2" customWidth="1"/>
    <col min="20" max="22" width="14.73046875" style="2" customWidth="1"/>
    <col min="23" max="23" width="2.73046875" style="2" customWidth="1"/>
    <col min="24" max="16384" width="9.1328125" style="2"/>
  </cols>
  <sheetData>
    <row r="1" spans="1:11" x14ac:dyDescent="0.4">
      <c r="B1" s="7" t="str">
        <f>'Set-up'!$B$4</f>
        <v>Example Trading Limited</v>
      </c>
    </row>
    <row r="2" spans="1:11" s="22" customFormat="1" ht="15.95" customHeight="1" x14ac:dyDescent="0.35">
      <c r="A2" s="27"/>
      <c r="B2" s="50" t="str">
        <f ca="1">"Balance sheet at "&amp;TEXT('Set-up'!$B$10,"dd mmmm yyyy")</f>
        <v>Balance sheet at 28 February 2017</v>
      </c>
      <c r="C2" s="51"/>
      <c r="D2" s="51"/>
      <c r="E2" s="51"/>
      <c r="F2" s="52"/>
      <c r="G2"/>
      <c r="H2" s="51"/>
      <c r="I2" s="51"/>
      <c r="J2" s="52"/>
      <c r="K2" s="21"/>
    </row>
    <row r="3" spans="1:11" s="22" customFormat="1" ht="15.95" customHeight="1" x14ac:dyDescent="0.35">
      <c r="A3" s="27"/>
      <c r="B3" s="20" t="s">
        <v>124</v>
      </c>
      <c r="C3"/>
      <c r="D3"/>
      <c r="E3"/>
      <c r="F3"/>
      <c r="G3"/>
      <c r="H3"/>
      <c r="I3"/>
      <c r="J3"/>
      <c r="K3" s="21"/>
    </row>
    <row r="4" spans="1:11" s="18" customFormat="1" ht="15.95" customHeight="1" x14ac:dyDescent="0.35">
      <c r="A4" s="88"/>
      <c r="B4" s="15"/>
      <c r="C4" s="54">
        <f ca="1">IF(ISBLANK('Set-up'!$B$8),YEAR(TODAY()),'Set-up'!$B$8)</f>
        <v>2017</v>
      </c>
      <c r="D4" s="54">
        <f ca="1">C4-1</f>
        <v>2016</v>
      </c>
      <c r="E4" s="54" t="s">
        <v>126</v>
      </c>
      <c r="F4" s="54" t="s">
        <v>127</v>
      </c>
      <c r="G4"/>
      <c r="H4" s="54">
        <f ca="1">D4-1</f>
        <v>2015</v>
      </c>
      <c r="I4" s="54" t="s">
        <v>126</v>
      </c>
      <c r="J4" s="54" t="s">
        <v>127</v>
      </c>
      <c r="K4" s="17"/>
    </row>
    <row r="5" spans="1:11" s="26" customFormat="1" ht="15" customHeight="1" x14ac:dyDescent="0.35">
      <c r="A5" s="28"/>
      <c r="B5" s="90" t="s">
        <v>15</v>
      </c>
      <c r="C5" s="97"/>
      <c r="D5" s="68"/>
      <c r="E5" s="68"/>
      <c r="F5" s="91"/>
      <c r="G5"/>
      <c r="H5" s="94"/>
      <c r="I5" s="68"/>
      <c r="J5" s="91"/>
      <c r="K5" s="25"/>
    </row>
    <row r="6" spans="1:11" s="26" customFormat="1" ht="15" customHeight="1" x14ac:dyDescent="0.35">
      <c r="A6" s="28"/>
      <c r="B6" s="90" t="s">
        <v>28</v>
      </c>
      <c r="C6" s="94"/>
      <c r="D6" s="68"/>
      <c r="E6" s="68"/>
      <c r="F6" s="91"/>
      <c r="G6"/>
      <c r="H6" s="94"/>
      <c r="I6" s="68"/>
      <c r="J6" s="91"/>
      <c r="K6" s="25"/>
    </row>
    <row r="7" spans="1:11" ht="15" customHeight="1" x14ac:dyDescent="0.35">
      <c r="A7" s="16" t="s">
        <v>197</v>
      </c>
      <c r="B7" s="69" t="s">
        <v>17</v>
      </c>
      <c r="C7" s="80">
        <f ca="1">IF(ISNA(MATCH(C$4,TBMonths,0))=TRUE,0,SUMIF(TBAll,$A7&amp;"*",OFFSET(TB!$C$4,1,MATCH(C$4,TBMonths,0),TBRowCount,1)))</f>
        <v>2749945</v>
      </c>
      <c r="D7" s="30">
        <f ca="1">IF(ISNA(MATCH(D$4,TBMonths,0))=TRUE,0,SUMIF(TBAll,$A7&amp;"*",OFFSET(TB!$C$4,1,MATCH(D$4,TBMonths,0),TBRowCount,1)))</f>
        <v>2521455</v>
      </c>
      <c r="E7" s="30">
        <f ca="1">C7-D7</f>
        <v>228490</v>
      </c>
      <c r="F7" s="70">
        <f ca="1">IF(D7=0,IF(E7=0,0,-1),E7/ABS(D7))</f>
        <v>9.0618313632406688E-2</v>
      </c>
      <c r="H7" s="80">
        <f ca="1">IF(ISNA(MATCH(H$4,TBMonths,0))=TRUE,0,SUMIF(TBAll,$A7&amp;"*",OFFSET(TB!$C$4,1,MATCH(H$4,TBMonths,0),TBRowCount,1)))</f>
        <v>2286002</v>
      </c>
      <c r="I7" s="30">
        <f ca="1">D7-H7</f>
        <v>235453</v>
      </c>
      <c r="J7" s="70">
        <f ca="1">IF(H7=0,IF(I7=0,0,-1),I7/ABS(H7))</f>
        <v>0.10299772266165996</v>
      </c>
    </row>
    <row r="8" spans="1:11" ht="15" customHeight="1" x14ac:dyDescent="0.35">
      <c r="A8" s="16" t="s">
        <v>198</v>
      </c>
      <c r="B8" s="69" t="s">
        <v>18</v>
      </c>
      <c r="C8" s="80">
        <f ca="1">IF(ISNA(MATCH(C$4,TBMonths,0))=TRUE,0,SUMIF(TBAll,$A8&amp;"*",OFFSET(TB!$C$4,1,MATCH(C$4,TBMonths,0),TBRowCount,1)))</f>
        <v>32900</v>
      </c>
      <c r="D8" s="30">
        <f ca="1">IF(ISNA(MATCH(D$4,TBMonths,0))=TRUE,0,SUMIF(TBAll,$A8&amp;"*",OFFSET(TB!$C$4,1,MATCH(D$4,TBMonths,0),TBRowCount,1)))</f>
        <v>59550</v>
      </c>
      <c r="E8" s="30">
        <f t="shared" ref="E8:E9" ca="1" si="0">C8-D8</f>
        <v>-26650</v>
      </c>
      <c r="F8" s="70">
        <f t="shared" ref="F8:F10" ca="1" si="1">IF(D8=0,IF(E8=0,0,-1),E8/ABS(D8))</f>
        <v>-0.44752308984047018</v>
      </c>
      <c r="H8" s="80">
        <f ca="1">IF(ISNA(MATCH(H$4,TBMonths,0))=TRUE,0,SUMIF(TBAll,$A8&amp;"*",OFFSET(TB!$C$4,1,MATCH(H$4,TBMonths,0),TBRowCount,1)))</f>
        <v>61750</v>
      </c>
      <c r="I8" s="30">
        <f t="shared" ref="I8:I9" ca="1" si="2">D8-H8</f>
        <v>-2200</v>
      </c>
      <c r="J8" s="70">
        <f t="shared" ref="J8:J10" ca="1" si="3">IF(H8=0,IF(I8=0,0,-1),I8/ABS(H8))</f>
        <v>-3.5627530364372467E-2</v>
      </c>
    </row>
    <row r="9" spans="1:11" ht="15" customHeight="1" x14ac:dyDescent="0.35">
      <c r="A9" s="16" t="s">
        <v>103</v>
      </c>
      <c r="B9" s="69" t="s">
        <v>16</v>
      </c>
      <c r="C9" s="80">
        <f ca="1">IF(ISNA(MATCH(C$4,TBMonths,0))=TRUE,0,SUMIF(TBAll,$A9&amp;"*",OFFSET(TB!$C$4,1,MATCH(C$4,TBMonths,0),TBRowCount,1)))</f>
        <v>142500</v>
      </c>
      <c r="D9" s="30">
        <f ca="1">IF(ISNA(MATCH(D$4,TBMonths,0))=TRUE,0,SUMIF(TBAll,$A9&amp;"*",OFFSET(TB!$C$4,1,MATCH(D$4,TBMonths,0),TBRowCount,1)))</f>
        <v>132500</v>
      </c>
      <c r="E9" s="30">
        <f t="shared" ca="1" si="0"/>
        <v>10000</v>
      </c>
      <c r="F9" s="70">
        <f t="shared" ca="1" si="1"/>
        <v>7.5471698113207544E-2</v>
      </c>
      <c r="H9" s="80">
        <f ca="1">IF(ISNA(MATCH(H$4,TBMonths,0))=TRUE,0,SUMIF(TBAll,$A9&amp;"*",OFFSET(TB!$C$4,1,MATCH(H$4,TBMonths,0),TBRowCount,1)))</f>
        <v>107500</v>
      </c>
      <c r="I9" s="30">
        <f t="shared" ca="1" si="2"/>
        <v>25000</v>
      </c>
      <c r="J9" s="70">
        <f t="shared" ca="1" si="3"/>
        <v>0.23255813953488372</v>
      </c>
    </row>
    <row r="10" spans="1:11" ht="15" customHeight="1" x14ac:dyDescent="0.35">
      <c r="B10" s="69"/>
      <c r="C10" s="95">
        <f ca="1">SUM(C7:C9)</f>
        <v>2925345</v>
      </c>
      <c r="D10" s="39">
        <f ca="1">SUM(D7:D9)</f>
        <v>2713505</v>
      </c>
      <c r="E10" s="39">
        <f ca="1">SUM(E7:E9)</f>
        <v>211840</v>
      </c>
      <c r="F10" s="92">
        <f t="shared" ca="1" si="1"/>
        <v>7.8068770833294943E-2</v>
      </c>
      <c r="H10" s="95">
        <f ca="1">SUM(H7:H9)</f>
        <v>2455252</v>
      </c>
      <c r="I10" s="39">
        <f ca="1">SUM(I7:I9)</f>
        <v>258253</v>
      </c>
      <c r="J10" s="92">
        <f t="shared" ca="1" si="3"/>
        <v>0.10518390780253921</v>
      </c>
    </row>
    <row r="11" spans="1:11" s="26" customFormat="1" ht="15" customHeight="1" x14ac:dyDescent="0.35">
      <c r="A11" s="28"/>
      <c r="B11" s="90" t="s">
        <v>29</v>
      </c>
      <c r="C11" s="94"/>
      <c r="D11" s="68"/>
      <c r="E11" s="68"/>
      <c r="F11" s="91"/>
      <c r="G11"/>
      <c r="H11" s="94"/>
      <c r="I11" s="68"/>
      <c r="J11" s="91"/>
      <c r="K11" s="25"/>
    </row>
    <row r="12" spans="1:11" ht="15" customHeight="1" x14ac:dyDescent="0.35">
      <c r="A12" s="16" t="s">
        <v>199</v>
      </c>
      <c r="B12" s="69" t="s">
        <v>19</v>
      </c>
      <c r="C12" s="80">
        <f ca="1">IF(ISNA(MATCH(C$4,TBMonths,0))=TRUE,0,SUMIF(TBAll,$A12&amp;"*",OFFSET(TB!$C$4,1,MATCH(C$4,TBMonths,0),TBRowCount,1)))</f>
        <v>57380</v>
      </c>
      <c r="D12" s="30">
        <f ca="1">IF(ISNA(MATCH(D$4,TBMonths,0))=TRUE,0,SUMIF(TBAll,$A12&amp;"*",OFFSET(TB!$C$4,1,MATCH(D$4,TBMonths,0),TBRowCount,1)))</f>
        <v>47920</v>
      </c>
      <c r="E12" s="30">
        <f t="shared" ref="E12:E16" ca="1" si="4">C12-D12</f>
        <v>9460</v>
      </c>
      <c r="F12" s="70">
        <f t="shared" ref="F12:F17" ca="1" si="5">IF(D12=0,IF(E12=0,0,-1),E12/ABS(D12))</f>
        <v>0.19741235392320533</v>
      </c>
      <c r="H12" s="80">
        <f ca="1">IF(ISNA(MATCH(H$4,TBMonths,0))=TRUE,0,SUMIF(TBAll,$A12&amp;"*",OFFSET(TB!$C$4,1,MATCH(H$4,TBMonths,0),TBRowCount,1)))</f>
        <v>45050</v>
      </c>
      <c r="I12" s="30">
        <f t="shared" ref="I12:I16" ca="1" si="6">D12-H12</f>
        <v>2870</v>
      </c>
      <c r="J12" s="70">
        <f t="shared" ref="J12:J17" ca="1" si="7">IF(H12=0,IF(I12=0,0,-1),I12/ABS(H12))</f>
        <v>6.3706992230854603E-2</v>
      </c>
    </row>
    <row r="13" spans="1:11" ht="15" customHeight="1" x14ac:dyDescent="0.35">
      <c r="A13" s="16" t="s">
        <v>102</v>
      </c>
      <c r="B13" s="69" t="s">
        <v>20</v>
      </c>
      <c r="C13" s="80">
        <f ca="1">IF(ISNA(MATCH(C$4,TBMonths,0))=TRUE,0,SUMIF(TBAll,$A13&amp;"*",OFFSET(TB!$C$4,1,MATCH(C$4,TBMonths,0),TBRowCount,1)))</f>
        <v>928788</v>
      </c>
      <c r="D13" s="30">
        <f ca="1">IF(ISNA(MATCH(D$4,TBMonths,0))=TRUE,0,SUMIF(TBAll,$A13&amp;"*",OFFSET(TB!$C$4,1,MATCH(D$4,TBMonths,0),TBRowCount,1)))</f>
        <v>728381</v>
      </c>
      <c r="E13" s="30">
        <f t="shared" ca="1" si="4"/>
        <v>200407</v>
      </c>
      <c r="F13" s="70">
        <f t="shared" ca="1" si="5"/>
        <v>0.27514034550599203</v>
      </c>
      <c r="H13" s="80">
        <f ca="1">IF(ISNA(MATCH(H$4,TBMonths,0))=TRUE,0,SUMIF(TBAll,$A13&amp;"*",OFFSET(TB!$C$4,1,MATCH(H$4,TBMonths,0),TBRowCount,1)))</f>
        <v>679044</v>
      </c>
      <c r="I13" s="30">
        <f t="shared" ca="1" si="6"/>
        <v>49337</v>
      </c>
      <c r="J13" s="70">
        <f t="shared" ca="1" si="7"/>
        <v>7.265655833789858E-2</v>
      </c>
    </row>
    <row r="14" spans="1:11" ht="15" customHeight="1" x14ac:dyDescent="0.35">
      <c r="A14" s="16" t="s">
        <v>280</v>
      </c>
      <c r="B14" s="69" t="s">
        <v>253</v>
      </c>
      <c r="C14" s="80">
        <f ca="1">IF(ISNA(MATCH(C$4,TBMonths,0))=TRUE,0,SUMIF(TBAll,$A14&amp;"*",OFFSET(TB!$C$4,1,MATCH(C$4,TBMonths,0),TBRowCount,1)))</f>
        <v>56760</v>
      </c>
      <c r="D14" s="30">
        <f ca="1">IF(ISNA(MATCH(D$4,TBMonths,0))=TRUE,0,SUMIF(TBAll,$A14&amp;"*",OFFSET(TB!$C$4,1,MATCH(D$4,TBMonths,0),TBRowCount,1)))</f>
        <v>45478</v>
      </c>
      <c r="E14" s="30">
        <f t="shared" ca="1" si="4"/>
        <v>11282</v>
      </c>
      <c r="F14" s="70">
        <f t="shared" ca="1" si="5"/>
        <v>0.24807599278772152</v>
      </c>
      <c r="H14" s="80">
        <f ca="1">IF(ISNA(MATCH(H$4,TBMonths,0))=TRUE,0,SUMIF(TBAll,$A14&amp;"*",OFFSET(TB!$C$4,1,MATCH(H$4,TBMonths,0),TBRowCount,1)))</f>
        <v>42190</v>
      </c>
      <c r="I14" s="30">
        <f t="shared" ca="1" si="6"/>
        <v>3288</v>
      </c>
      <c r="J14" s="70">
        <f t="shared" ca="1" si="7"/>
        <v>7.7933159516473102E-2</v>
      </c>
    </row>
    <row r="15" spans="1:11" ht="15" customHeight="1" x14ac:dyDescent="0.35">
      <c r="A15" s="16" t="s">
        <v>112</v>
      </c>
      <c r="B15" s="69" t="s">
        <v>200</v>
      </c>
      <c r="C15" s="80">
        <f ca="1">IF(ISNA(MATCH(C$4,TBMonths,0))=TRUE,0,IF(SUMIF(TBAll,$A15&amp;"*",OFFSET(TB!$C$4,1,MATCH(C$4,TBMonths,0),TBRowCount,1))&gt;0,SUMIF(TBAll,$A15&amp;"*",OFFSET(TB!$C$4,1,MATCH(C$4,TBMonths,0),TBRowCount,1)),0))</f>
        <v>0</v>
      </c>
      <c r="D15" s="30">
        <f ca="1">IF(ISNA(MATCH(D$4,TBMonths,0))=TRUE,0,IF(SUMIF(TBAll,$A15&amp;"*",OFFSET(TB!$C$4,1,MATCH(D$4,TBMonths,0),TBRowCount,1))&gt;0,SUMIF(TBAll,$A15&amp;"*",OFFSET(TB!$C$4,1,MATCH(D$4,TBMonths,0),TBRowCount,1)),0))</f>
        <v>0</v>
      </c>
      <c r="E15" s="30">
        <f t="shared" ca="1" si="4"/>
        <v>0</v>
      </c>
      <c r="F15" s="70">
        <f t="shared" ca="1" si="5"/>
        <v>0</v>
      </c>
      <c r="H15" s="80">
        <f ca="1">IF(ISNA(MATCH(H$4,TBMonths,0))=TRUE,0,IF(SUMIF(TBAll,$A15&amp;"*",OFFSET(TB!$C$4,1,MATCH(H$4,TBMonths,0),TBRowCount,1))&gt;0,SUMIF(TBAll,$A15&amp;"*",OFFSET(TB!$C$4,1,MATCH(H$4,TBMonths,0),TBRowCount,1)),0))</f>
        <v>0</v>
      </c>
      <c r="I15" s="30">
        <f t="shared" ca="1" si="6"/>
        <v>0</v>
      </c>
      <c r="J15" s="70">
        <f t="shared" ca="1" si="7"/>
        <v>0</v>
      </c>
    </row>
    <row r="16" spans="1:11" ht="15" customHeight="1" x14ac:dyDescent="0.35">
      <c r="A16" s="16" t="s">
        <v>111</v>
      </c>
      <c r="B16" s="69" t="s">
        <v>201</v>
      </c>
      <c r="C16" s="80">
        <f ca="1">IF(ISNA(MATCH(C$4,TBMonths,0))=TRUE,0,SUMIF(TBAll,$A16&amp;"*",OFFSET(TB!$C$4,1,MATCH(C$4,TBMonths,0),TBRowCount,1)))</f>
        <v>2700</v>
      </c>
      <c r="D16" s="30">
        <f ca="1">IF(ISNA(MATCH(D$4,TBMonths,0))=TRUE,0,SUMIF(TBAll,$A16&amp;"*",OFFSET(TB!$C$4,1,MATCH(D$4,TBMonths,0),TBRowCount,1)))</f>
        <v>2075</v>
      </c>
      <c r="E16" s="30">
        <f t="shared" ca="1" si="4"/>
        <v>625</v>
      </c>
      <c r="F16" s="70">
        <f t="shared" ca="1" si="5"/>
        <v>0.30120481927710846</v>
      </c>
      <c r="H16" s="80">
        <f ca="1">IF(ISNA(MATCH(H$4,TBMonths,0))=TRUE,0,SUMIF(TBAll,$A16&amp;"*",OFFSET(TB!$C$4,1,MATCH(H$4,TBMonths,0),TBRowCount,1)))</f>
        <v>3478</v>
      </c>
      <c r="I16" s="30">
        <f t="shared" ca="1" si="6"/>
        <v>-1403</v>
      </c>
      <c r="J16" s="70">
        <f t="shared" ca="1" si="7"/>
        <v>-0.40339275445658423</v>
      </c>
    </row>
    <row r="17" spans="1:11" ht="15" customHeight="1" x14ac:dyDescent="0.35">
      <c r="B17" s="69"/>
      <c r="C17" s="95">
        <f ca="1">SUM(C12:C16)</f>
        <v>1045628</v>
      </c>
      <c r="D17" s="39">
        <f ca="1">SUM(D12:D16)</f>
        <v>823854</v>
      </c>
      <c r="E17" s="39">
        <f ca="1">SUM(E12:E16)</f>
        <v>221774</v>
      </c>
      <c r="F17" s="92">
        <f t="shared" ca="1" si="5"/>
        <v>0.26919090032942727</v>
      </c>
      <c r="H17" s="95">
        <f ca="1">SUM(H12:H16)</f>
        <v>769762</v>
      </c>
      <c r="I17" s="39">
        <f ca="1">SUM(I12:I16)</f>
        <v>54092</v>
      </c>
      <c r="J17" s="92">
        <f t="shared" ca="1" si="7"/>
        <v>7.0271070798506557E-2</v>
      </c>
    </row>
    <row r="18" spans="1:11" ht="15" customHeight="1" x14ac:dyDescent="0.35">
      <c r="B18" s="69"/>
      <c r="C18" s="80"/>
      <c r="D18" s="30"/>
      <c r="E18" s="30"/>
      <c r="F18" s="70"/>
      <c r="H18" s="80"/>
      <c r="I18" s="30"/>
      <c r="J18" s="70"/>
    </row>
    <row r="19" spans="1:11" s="26" customFormat="1" ht="15" customHeight="1" thickBot="1" x14ac:dyDescent="0.4">
      <c r="A19" s="28"/>
      <c r="B19" s="90" t="s">
        <v>30</v>
      </c>
      <c r="C19" s="87">
        <f ca="1">SUM(C10,C17)</f>
        <v>3970973</v>
      </c>
      <c r="D19" s="38">
        <f ca="1">SUM(D10,D17)</f>
        <v>3537359</v>
      </c>
      <c r="E19" s="38">
        <f ca="1">SUM(E10,E17)</f>
        <v>433614</v>
      </c>
      <c r="F19" s="79">
        <f ca="1">IF(D19=0,IF(E19=0,0,-1),E19/ABS(D19))</f>
        <v>0.12258128168500851</v>
      </c>
      <c r="G19"/>
      <c r="H19" s="87">
        <f ca="1">SUM(H10,H17)</f>
        <v>3225014</v>
      </c>
      <c r="I19" s="38">
        <f ca="1">SUM(I10,I17)</f>
        <v>312345</v>
      </c>
      <c r="J19" s="79">
        <f ca="1">IF(H19=0,IF(I19=0,0,-1),I19/ABS(H19))</f>
        <v>9.6850742353366534E-2</v>
      </c>
      <c r="K19" s="25"/>
    </row>
    <row r="20" spans="1:11" ht="15" customHeight="1" thickTop="1" x14ac:dyDescent="0.35">
      <c r="B20" s="69"/>
      <c r="C20" s="80"/>
      <c r="D20" s="30"/>
      <c r="E20" s="30"/>
      <c r="F20" s="70"/>
      <c r="H20" s="80"/>
      <c r="I20" s="30"/>
      <c r="J20" s="70"/>
    </row>
    <row r="21" spans="1:11" s="26" customFormat="1" ht="15" customHeight="1" x14ac:dyDescent="0.35">
      <c r="A21" s="28"/>
      <c r="B21" s="90" t="s">
        <v>21</v>
      </c>
      <c r="C21" s="94"/>
      <c r="D21" s="68"/>
      <c r="E21" s="68"/>
      <c r="F21" s="91"/>
      <c r="G21"/>
      <c r="H21" s="94"/>
      <c r="I21" s="68"/>
      <c r="J21" s="91"/>
      <c r="K21" s="25"/>
    </row>
    <row r="22" spans="1:11" s="26" customFormat="1" ht="15" customHeight="1" x14ac:dyDescent="0.35">
      <c r="A22" s="28"/>
      <c r="B22" s="90" t="s">
        <v>22</v>
      </c>
      <c r="C22" s="94"/>
      <c r="D22" s="68"/>
      <c r="E22" s="68"/>
      <c r="F22" s="91"/>
      <c r="G22"/>
      <c r="H22" s="94"/>
      <c r="I22" s="68"/>
      <c r="J22" s="91"/>
      <c r="K22" s="25"/>
    </row>
    <row r="23" spans="1:11" ht="15" customHeight="1" x14ac:dyDescent="0.35">
      <c r="A23" s="16" t="s">
        <v>114</v>
      </c>
      <c r="B23" s="69" t="s">
        <v>25</v>
      </c>
      <c r="C23" s="80">
        <f ca="1">-IF(ISNA(MATCH(C$4,TBMonths,0))=TRUE,0,SUMIF(TBAll,$A23&amp;"*",OFFSET(TB!$C$4,1,MATCH(C$4,TBMonths,0),TBRowCount,1)))</f>
        <v>45000</v>
      </c>
      <c r="D23" s="30">
        <f ca="1">-IF(ISNA(MATCH(D$4,TBMonths,0))=TRUE,0,SUMIF(TBAll,$A23&amp;"*",OFFSET(TB!$C$4,1,MATCH(D$4,TBMonths,0),TBRowCount,1)))</f>
        <v>40000</v>
      </c>
      <c r="E23" s="30">
        <f t="shared" ref="E23:E24" ca="1" si="8">C23-D23</f>
        <v>5000</v>
      </c>
      <c r="F23" s="70">
        <f t="shared" ref="F23:F25" ca="1" si="9">IF(D23=0,IF(E23=0,0,-1),E23/ABS(D23))</f>
        <v>0.125</v>
      </c>
      <c r="H23" s="80">
        <f ca="1">-IF(ISNA(MATCH(H$4,TBMonths,0))=TRUE,0,SUMIF(TBAll,$A23&amp;"*",OFFSET(TB!$C$4,1,MATCH(H$4,TBMonths,0),TBRowCount,1)))</f>
        <v>30000</v>
      </c>
      <c r="I23" s="30">
        <f t="shared" ref="I23:I24" ca="1" si="10">D23-H23</f>
        <v>10000</v>
      </c>
      <c r="J23" s="70">
        <f t="shared" ref="J23:J25" ca="1" si="11">IF(H23=0,IF(I23=0,0,-1),I23/ABS(H23))</f>
        <v>0.33333333333333331</v>
      </c>
    </row>
    <row r="24" spans="1:11" ht="15" customHeight="1" x14ac:dyDescent="0.35">
      <c r="A24" s="16" t="s">
        <v>115</v>
      </c>
      <c r="B24" s="69" t="s">
        <v>26</v>
      </c>
      <c r="C24" s="80">
        <f ca="1">IS!C40</f>
        <v>2597440</v>
      </c>
      <c r="D24" s="30">
        <f ca="1">IS!D40</f>
        <v>2171350</v>
      </c>
      <c r="E24" s="30">
        <f t="shared" ca="1" si="8"/>
        <v>426090</v>
      </c>
      <c r="F24" s="70">
        <f t="shared" ca="1" si="9"/>
        <v>0.19623275842217974</v>
      </c>
      <c r="H24" s="80">
        <f ca="1">IS!H40</f>
        <v>2003765</v>
      </c>
      <c r="I24" s="30">
        <f t="shared" ca="1" si="10"/>
        <v>167585</v>
      </c>
      <c r="J24" s="70">
        <f t="shared" ca="1" si="11"/>
        <v>8.3635057005187738E-2</v>
      </c>
    </row>
    <row r="25" spans="1:11" ht="15" customHeight="1" x14ac:dyDescent="0.35">
      <c r="B25" s="69"/>
      <c r="C25" s="95">
        <f ca="1">SUM(C23:C24)</f>
        <v>2642440</v>
      </c>
      <c r="D25" s="39">
        <f ca="1">SUM(D23:D24)</f>
        <v>2211350</v>
      </c>
      <c r="E25" s="39">
        <f ca="1">SUM(E23:E24)</f>
        <v>431090</v>
      </c>
      <c r="F25" s="92">
        <f t="shared" ca="1" si="9"/>
        <v>0.19494426481561036</v>
      </c>
      <c r="H25" s="95">
        <f ca="1">SUM(H23:H24)</f>
        <v>2033765</v>
      </c>
      <c r="I25" s="39">
        <f ca="1">SUM(I23:I24)</f>
        <v>177585</v>
      </c>
      <c r="J25" s="92">
        <f t="shared" ca="1" si="11"/>
        <v>8.7318347990057846E-2</v>
      </c>
    </row>
    <row r="26" spans="1:11" s="26" customFormat="1" ht="15" customHeight="1" x14ac:dyDescent="0.35">
      <c r="A26" s="28"/>
      <c r="B26" s="90" t="s">
        <v>24</v>
      </c>
      <c r="C26" s="94"/>
      <c r="D26" s="68"/>
      <c r="E26" s="68"/>
      <c r="F26" s="91"/>
      <c r="G26"/>
      <c r="H26" s="94"/>
      <c r="I26" s="68"/>
      <c r="J26" s="91"/>
      <c r="K26" s="25"/>
    </row>
    <row r="27" spans="1:11" ht="15" customHeight="1" x14ac:dyDescent="0.35">
      <c r="A27" s="16" t="s">
        <v>105</v>
      </c>
      <c r="B27" s="69" t="s">
        <v>82</v>
      </c>
      <c r="C27" s="80">
        <f ca="1">-IF(ISNA(MATCH(C$4,TBMonths,0))=TRUE,0,SUMIF(TBAll,$A27&amp;"*",OFFSET(TB!$C$4,1,MATCH(C$4,TBMonths,0),TBRowCount,1)))</f>
        <v>250000</v>
      </c>
      <c r="D27" s="30">
        <f ca="1">-IF(ISNA(MATCH(D$4,TBMonths,0))=TRUE,0,SUMIF(TBAll,$A27&amp;"*",OFFSET(TB!$C$4,1,MATCH(D$4,TBMonths,0),TBRowCount,1)))</f>
        <v>260000</v>
      </c>
      <c r="E27" s="30">
        <f t="shared" ref="E27:E29" ca="1" si="12">C27-D27</f>
        <v>-10000</v>
      </c>
      <c r="F27" s="70">
        <f t="shared" ref="F27:F30" ca="1" si="13">IF(D27=0,IF(E27=0,0,-1),E27/ABS(D27))</f>
        <v>-3.8461538461538464E-2</v>
      </c>
      <c r="H27" s="80">
        <f ca="1">-IF(ISNA(MATCH(H$4,TBMonths,0))=TRUE,0,SUMIF(TBAll,$A27&amp;"*",OFFSET(TB!$C$4,1,MATCH(H$4,TBMonths,0),TBRowCount,1)))</f>
        <v>250000</v>
      </c>
      <c r="I27" s="30">
        <f t="shared" ref="I27:I29" ca="1" si="14">D27-H27</f>
        <v>10000</v>
      </c>
      <c r="J27" s="70">
        <f t="shared" ref="J27:J30" ca="1" si="15">IF(H27=0,IF(I27=0,0,-1),I27/ABS(H27))</f>
        <v>0.04</v>
      </c>
    </row>
    <row r="28" spans="1:11" ht="15" customHeight="1" x14ac:dyDescent="0.35">
      <c r="A28" s="16" t="s">
        <v>106</v>
      </c>
      <c r="B28" s="69" t="s">
        <v>83</v>
      </c>
      <c r="C28" s="80">
        <f ca="1">-IF(ISNA(MATCH(C$4,TBMonths,0))=TRUE,0,SUMIF(TBAll,$A28&amp;"*",OFFSET(TB!$C$4,1,MATCH(C$4,TBMonths,0),TBRowCount,1)))</f>
        <v>44624</v>
      </c>
      <c r="D28" s="30">
        <f ca="1">-IF(ISNA(MATCH(D$4,TBMonths,0))=TRUE,0,SUMIF(TBAll,$A28&amp;"*",OFFSET(TB!$C$4,1,MATCH(D$4,TBMonths,0),TBRowCount,1)))</f>
        <v>64508</v>
      </c>
      <c r="E28" s="30">
        <f t="shared" ca="1" si="12"/>
        <v>-19884</v>
      </c>
      <c r="F28" s="70">
        <f t="shared" ca="1" si="13"/>
        <v>-0.30824083834563154</v>
      </c>
      <c r="H28" s="80">
        <f ca="1">-IF(ISNA(MATCH(H$4,TBMonths,0))=TRUE,0,SUMIF(TBAll,$A28&amp;"*",OFFSET(TB!$C$4,1,MATCH(H$4,TBMonths,0),TBRowCount,1)))</f>
        <v>82931</v>
      </c>
      <c r="I28" s="30">
        <f t="shared" ca="1" si="14"/>
        <v>-18423</v>
      </c>
      <c r="J28" s="70">
        <f t="shared" ca="1" si="15"/>
        <v>-0.22214853311789318</v>
      </c>
    </row>
    <row r="29" spans="1:11" ht="15" customHeight="1" x14ac:dyDescent="0.35">
      <c r="A29" s="16" t="s">
        <v>104</v>
      </c>
      <c r="B29" s="69" t="s">
        <v>27</v>
      </c>
      <c r="C29" s="80">
        <f ca="1">-IF(ISNA(MATCH(C$4,TBMonths,0))=TRUE,0,SUMIF(TBAll,$A29&amp;"*",OFFSET(TB!$C$4,1,MATCH(C$4,TBMonths,0),TBRowCount,1)))</f>
        <v>4309</v>
      </c>
      <c r="D29" s="30">
        <f ca="1">-IF(ISNA(MATCH(D$4,TBMonths,0))=TRUE,0,SUMIF(TBAll,$A29&amp;"*",OFFSET(TB!$C$4,1,MATCH(D$4,TBMonths,0),TBRowCount,1)))</f>
        <v>-2912</v>
      </c>
      <c r="E29" s="30">
        <f t="shared" ca="1" si="12"/>
        <v>7221</v>
      </c>
      <c r="F29" s="70">
        <f t="shared" ca="1" si="13"/>
        <v>2.4797390109890109</v>
      </c>
      <c r="H29" s="80">
        <f ca="1">-IF(ISNA(MATCH(H$4,TBMonths,0))=TRUE,0,SUMIF(TBAll,$A29&amp;"*",OFFSET(TB!$C$4,1,MATCH(H$4,TBMonths,0),TBRowCount,1)))</f>
        <v>-2155</v>
      </c>
      <c r="I29" s="30">
        <f t="shared" ca="1" si="14"/>
        <v>-757</v>
      </c>
      <c r="J29" s="70">
        <f t="shared" ca="1" si="15"/>
        <v>-0.35127610208816706</v>
      </c>
    </row>
    <row r="30" spans="1:11" ht="15" customHeight="1" x14ac:dyDescent="0.35">
      <c r="B30" s="69"/>
      <c r="C30" s="96">
        <f ca="1">SUM(C27:C29)</f>
        <v>298933</v>
      </c>
      <c r="D30" s="40">
        <f ca="1">SUM(D27:D29)</f>
        <v>321596</v>
      </c>
      <c r="E30" s="40">
        <f ca="1">SUM(E27:E29)</f>
        <v>-22663</v>
      </c>
      <c r="F30" s="93">
        <f t="shared" ca="1" si="13"/>
        <v>-7.0470403860744532E-2</v>
      </c>
      <c r="H30" s="96">
        <f ca="1">SUM(H27:H29)</f>
        <v>330776</v>
      </c>
      <c r="I30" s="40">
        <f ca="1">SUM(I27:I29)</f>
        <v>-9180</v>
      </c>
      <c r="J30" s="93">
        <f t="shared" ca="1" si="15"/>
        <v>-2.7752920405349844E-2</v>
      </c>
    </row>
    <row r="31" spans="1:11" s="26" customFormat="1" ht="15" customHeight="1" x14ac:dyDescent="0.35">
      <c r="A31" s="28"/>
      <c r="B31" s="90" t="s">
        <v>31</v>
      </c>
      <c r="C31" s="94"/>
      <c r="D31" s="68"/>
      <c r="E31" s="68"/>
      <c r="F31" s="91"/>
      <c r="G31"/>
      <c r="H31" s="94"/>
      <c r="I31" s="68"/>
      <c r="J31" s="91"/>
      <c r="K31" s="25"/>
    </row>
    <row r="32" spans="1:11" ht="15" customHeight="1" x14ac:dyDescent="0.35">
      <c r="A32" s="16" t="s">
        <v>112</v>
      </c>
      <c r="B32" s="69" t="s">
        <v>32</v>
      </c>
      <c r="C32" s="80">
        <f ca="1">-IF(ISNA(MATCH(C$4,TBMonths,0))=TRUE,0,IF(SUMIF(TBAll,$A32&amp;"*",OFFSET(TB!$C$4,1,MATCH(C$4,TBMonths,0),TBRowCount,1))&lt;=0,SUMIF(TBAll,$A32&amp;"*",OFFSET(TB!$C$4,1,MATCH(C$4,TBMonths,0),TBRowCount,1)),0))</f>
        <v>36600</v>
      </c>
      <c r="D32" s="30">
        <f ca="1">-IF(ISNA(MATCH(D$4,TBMonths,0))=TRUE,0,IF(SUMIF(TBAll,$A32&amp;"*",OFFSET(TB!$C$4,1,MATCH(D$4,TBMonths,0),TBRowCount,1))&lt;=0,SUMIF(TBAll,$A32&amp;"*",OFFSET(TB!$C$4,1,MATCH(D$4,TBMonths,0),TBRowCount,1)),0))</f>
        <v>82507</v>
      </c>
      <c r="E32" s="30">
        <f t="shared" ref="E32:E38" ca="1" si="16">C32-D32</f>
        <v>-45907</v>
      </c>
      <c r="F32" s="70">
        <f t="shared" ref="F32:F39" ca="1" si="17">IF(D32=0,IF(E32=0,0,-1),E32/ABS(D32))</f>
        <v>-0.5564012750433297</v>
      </c>
      <c r="H32" s="80">
        <f ca="1">-IF(ISNA(MATCH(H$4,TBMonths,0))=TRUE,0,IF(SUMIF(TBAll,$A32&amp;"*",OFFSET(TB!$C$4,1,MATCH(H$4,TBMonths,0),TBRowCount,1))&lt;=0,SUMIF(TBAll,$A32&amp;"*",OFFSET(TB!$C$4,1,MATCH(H$4,TBMonths,0),TBRowCount,1)),0))</f>
        <v>5435</v>
      </c>
      <c r="I32" s="30">
        <f t="shared" ref="I32:I38" ca="1" si="18">D32-H32</f>
        <v>77072</v>
      </c>
      <c r="J32" s="70">
        <f t="shared" ref="J32:J39" ca="1" si="19">IF(H32=0,IF(I32=0,0,-1),I32/ABS(H32))</f>
        <v>14.180680772769088</v>
      </c>
    </row>
    <row r="33" spans="1:11" ht="15" customHeight="1" x14ac:dyDescent="0.35">
      <c r="A33" s="16" t="s">
        <v>107</v>
      </c>
      <c r="B33" s="69" t="s">
        <v>33</v>
      </c>
      <c r="C33" s="80">
        <f ca="1">-IF(ISNA(MATCH(C$4,TBMonths,0))=TRUE,0,SUMIF(TBAll,$A33&amp;"*",OFFSET(TB!$C$4,1,MATCH(C$4,TBMonths,0),TBRowCount,1)))</f>
        <v>275030</v>
      </c>
      <c r="D33" s="30">
        <f ca="1">-IF(ISNA(MATCH(D$4,TBMonths,0))=TRUE,0,SUMIF(TBAll,$A33&amp;"*",OFFSET(TB!$C$4,1,MATCH(D$4,TBMonths,0),TBRowCount,1)))</f>
        <v>348520</v>
      </c>
      <c r="E33" s="30">
        <f t="shared" ca="1" si="16"/>
        <v>-73490</v>
      </c>
      <c r="F33" s="70">
        <f t="shared" ca="1" si="17"/>
        <v>-0.21086307815907265</v>
      </c>
      <c r="H33" s="80">
        <f ca="1">-IF(ISNA(MATCH(H$4,TBMonths,0))=TRUE,0,SUMIF(TBAll,$A33&amp;"*",OFFSET(TB!$C$4,1,MATCH(H$4,TBMonths,0),TBRowCount,1)))</f>
        <v>335190</v>
      </c>
      <c r="I33" s="30">
        <f t="shared" ca="1" si="18"/>
        <v>13330</v>
      </c>
      <c r="J33" s="70">
        <f t="shared" ca="1" si="19"/>
        <v>3.9768489513410304E-2</v>
      </c>
    </row>
    <row r="34" spans="1:11" ht="15" customHeight="1" x14ac:dyDescent="0.35">
      <c r="A34" s="16" t="s">
        <v>281</v>
      </c>
      <c r="B34" s="69" t="s">
        <v>260</v>
      </c>
      <c r="C34" s="80">
        <f ca="1">-IF(ISNA(MATCH(C$4,TBMonths,0))=TRUE,0,SUMIF(TBAll,$A34&amp;"*",OFFSET(TB!$C$4,1,MATCH(C$4,TBMonths,0),TBRowCount,1)))</f>
        <v>79500</v>
      </c>
      <c r="D34" s="30">
        <f ca="1">-IF(ISNA(MATCH(D$4,TBMonths,0))=TRUE,0,SUMIF(TBAll,$A34&amp;"*",OFFSET(TB!$C$4,1,MATCH(D$4,TBMonths,0),TBRowCount,1)))</f>
        <v>67000</v>
      </c>
      <c r="E34" s="30">
        <f t="shared" ca="1" si="16"/>
        <v>12500</v>
      </c>
      <c r="F34" s="70">
        <f t="shared" ca="1" si="17"/>
        <v>0.18656716417910449</v>
      </c>
      <c r="H34" s="80">
        <f ca="1">-IF(ISNA(MATCH(H$4,TBMonths,0))=TRUE,0,SUMIF(TBAll,$A34&amp;"*",OFFSET(TB!$C$4,1,MATCH(H$4,TBMonths,0),TBRowCount,1)))</f>
        <v>55000</v>
      </c>
      <c r="I34" s="30">
        <f t="shared" ca="1" si="18"/>
        <v>12000</v>
      </c>
      <c r="J34" s="70">
        <f t="shared" ca="1" si="19"/>
        <v>0.21818181818181817</v>
      </c>
    </row>
    <row r="35" spans="1:11" ht="15" customHeight="1" x14ac:dyDescent="0.35">
      <c r="A35" s="16" t="s">
        <v>113</v>
      </c>
      <c r="B35" s="69" t="s">
        <v>84</v>
      </c>
      <c r="C35" s="80">
        <f ca="1">-IF(ISNA(MATCH(C$4,TBMonths,0))=TRUE,0,SUMIF(TBAll,$A35&amp;"*",OFFSET(TB!$C$4,1,MATCH(C$4,TBMonths,0),TBRowCount,1)))</f>
        <v>214823</v>
      </c>
      <c r="D35" s="30">
        <f ca="1">-IF(ISNA(MATCH(D$4,TBMonths,0))=TRUE,0,SUMIF(TBAll,$A35&amp;"*",OFFSET(TB!$C$4,1,MATCH(D$4,TBMonths,0),TBRowCount,1)))</f>
        <v>214870</v>
      </c>
      <c r="E35" s="30">
        <f t="shared" ca="1" si="16"/>
        <v>-47</v>
      </c>
      <c r="F35" s="70">
        <f t="shared" ca="1" si="17"/>
        <v>-2.1873691069018475E-4</v>
      </c>
      <c r="H35" s="80">
        <f ca="1">-IF(ISNA(MATCH(H$4,TBMonths,0))=TRUE,0,SUMIF(TBAll,$A35&amp;"*",OFFSET(TB!$C$4,1,MATCH(H$4,TBMonths,0),TBRowCount,1)))</f>
        <v>211637</v>
      </c>
      <c r="I35" s="30">
        <f t="shared" ca="1" si="18"/>
        <v>3233</v>
      </c>
      <c r="J35" s="70">
        <f t="shared" ca="1" si="19"/>
        <v>1.5276156815679677E-2</v>
      </c>
    </row>
    <row r="36" spans="1:11" ht="15" customHeight="1" x14ac:dyDescent="0.35">
      <c r="A36" s="16" t="s">
        <v>108</v>
      </c>
      <c r="B36" s="69" t="s">
        <v>34</v>
      </c>
      <c r="C36" s="80">
        <f ca="1">-IF(ISNA(MATCH(C$4,TBMonths,0))=TRUE,0,SUMIF(TBAll,$A36&amp;"*",OFFSET(TB!$C$4,1,MATCH(C$4,TBMonths,0),TBRowCount,1)))</f>
        <v>2000</v>
      </c>
      <c r="D36" s="30">
        <f ca="1">-IF(ISNA(MATCH(D$4,TBMonths,0))=TRUE,0,SUMIF(TBAll,$A36&amp;"*",OFFSET(TB!$C$4,1,MATCH(D$4,TBMonths,0),TBRowCount,1)))</f>
        <v>1200</v>
      </c>
      <c r="E36" s="30">
        <f t="shared" ca="1" si="16"/>
        <v>800</v>
      </c>
      <c r="F36" s="70">
        <f t="shared" ca="1" si="17"/>
        <v>0.66666666666666663</v>
      </c>
      <c r="H36" s="80">
        <f ca="1">-IF(ISNA(MATCH(H$4,TBMonths,0))=TRUE,0,SUMIF(TBAll,$A36&amp;"*",OFFSET(TB!$C$4,1,MATCH(H$4,TBMonths,0),TBRowCount,1)))</f>
        <v>0</v>
      </c>
      <c r="I36" s="30">
        <f t="shared" ca="1" si="18"/>
        <v>1200</v>
      </c>
      <c r="J36" s="70">
        <f t="shared" ca="1" si="19"/>
        <v>-1</v>
      </c>
    </row>
    <row r="37" spans="1:11" ht="15" customHeight="1" x14ac:dyDescent="0.35">
      <c r="A37" s="16" t="s">
        <v>110</v>
      </c>
      <c r="B37" s="69" t="s">
        <v>91</v>
      </c>
      <c r="C37" s="80">
        <f ca="1">-IF(ISNA(MATCH(C$4,TBMonths,0))=TRUE,0,SUMIF(TBAll,$A37&amp;"*",OFFSET(TB!$C$4,1,MATCH(C$4,TBMonths,0),TBRowCount,1)))</f>
        <v>150000</v>
      </c>
      <c r="D37" s="30">
        <f ca="1">-IF(ISNA(MATCH(D$4,TBMonths,0))=TRUE,0,SUMIF(TBAll,$A37&amp;"*",OFFSET(TB!$C$4,1,MATCH(D$4,TBMonths,0),TBRowCount,1)))</f>
        <v>100000</v>
      </c>
      <c r="E37" s="30">
        <f t="shared" ca="1" si="16"/>
        <v>50000</v>
      </c>
      <c r="F37" s="70">
        <f t="shared" ca="1" si="17"/>
        <v>0.5</v>
      </c>
      <c r="H37" s="80">
        <f ca="1">-IF(ISNA(MATCH(H$4,TBMonths,0))=TRUE,0,SUMIF(TBAll,$A37&amp;"*",OFFSET(TB!$C$4,1,MATCH(H$4,TBMonths,0),TBRowCount,1)))</f>
        <v>80000</v>
      </c>
      <c r="I37" s="30">
        <f t="shared" ca="1" si="18"/>
        <v>20000</v>
      </c>
      <c r="J37" s="70">
        <f t="shared" ca="1" si="19"/>
        <v>0.25</v>
      </c>
    </row>
    <row r="38" spans="1:11" ht="15" customHeight="1" x14ac:dyDescent="0.35">
      <c r="A38" s="16" t="s">
        <v>109</v>
      </c>
      <c r="B38" s="69" t="s">
        <v>35</v>
      </c>
      <c r="C38" s="80">
        <f ca="1">-IF(ISNA(MATCH(C$4,TBMonths,0))=TRUE,0,SUMIF(TBAll,$A38&amp;"*",OFFSET(TB!$C$4,1,MATCH(C$4,TBMonths,0),TBRowCount,1)))</f>
        <v>271647</v>
      </c>
      <c r="D38" s="30">
        <f ca="1">-IF(ISNA(MATCH(D$4,TBMonths,0))=TRUE,0,SUMIF(TBAll,$A38&amp;"*",OFFSET(TB!$C$4,1,MATCH(D$4,TBMonths,0),TBRowCount,1)))</f>
        <v>190316</v>
      </c>
      <c r="E38" s="30">
        <f t="shared" ca="1" si="16"/>
        <v>81331</v>
      </c>
      <c r="F38" s="70">
        <f t="shared" ca="1" si="17"/>
        <v>0.42734714895226888</v>
      </c>
      <c r="H38" s="80">
        <f ca="1">-IF(ISNA(MATCH(H$4,TBMonths,0))=TRUE,0,SUMIF(TBAll,$A38&amp;"*",OFFSET(TB!$C$4,1,MATCH(H$4,TBMonths,0),TBRowCount,1)))</f>
        <v>173211</v>
      </c>
      <c r="I38" s="30">
        <f t="shared" ca="1" si="18"/>
        <v>17105</v>
      </c>
      <c r="J38" s="70">
        <f t="shared" ca="1" si="19"/>
        <v>9.8752388705105332E-2</v>
      </c>
    </row>
    <row r="39" spans="1:11" ht="15" customHeight="1" x14ac:dyDescent="0.35">
      <c r="B39" s="69"/>
      <c r="C39" s="96">
        <f ca="1">SUM(C32:C38)</f>
        <v>1029600</v>
      </c>
      <c r="D39" s="40">
        <f ca="1">SUM(D32:D38)</f>
        <v>1004413</v>
      </c>
      <c r="E39" s="40">
        <f ca="1">SUM(E32:E38)</f>
        <v>25187</v>
      </c>
      <c r="F39" s="93">
        <f t="shared" ca="1" si="17"/>
        <v>2.5076338119876983E-2</v>
      </c>
      <c r="H39" s="96">
        <f ca="1">SUM(H32:H38)</f>
        <v>860473</v>
      </c>
      <c r="I39" s="40">
        <f ca="1">SUM(I32:I38)</f>
        <v>143940</v>
      </c>
      <c r="J39" s="93">
        <f t="shared" ca="1" si="19"/>
        <v>0.16728008897431995</v>
      </c>
    </row>
    <row r="40" spans="1:11" ht="15" customHeight="1" x14ac:dyDescent="0.35">
      <c r="B40" s="69"/>
      <c r="C40" s="80"/>
      <c r="D40" s="30"/>
      <c r="E40" s="30"/>
      <c r="F40" s="70"/>
      <c r="H40" s="80"/>
      <c r="I40" s="30"/>
      <c r="J40" s="70"/>
    </row>
    <row r="41" spans="1:11" s="26" customFormat="1" ht="15" customHeight="1" x14ac:dyDescent="0.35">
      <c r="A41" s="28"/>
      <c r="B41" s="90" t="s">
        <v>36</v>
      </c>
      <c r="C41" s="86">
        <f ca="1">SUM(C30,C39)</f>
        <v>1328533</v>
      </c>
      <c r="D41" s="41">
        <f ca="1">SUM(D30,D39)</f>
        <v>1326009</v>
      </c>
      <c r="E41" s="41">
        <f ca="1">SUM(E30,E39)</f>
        <v>2524</v>
      </c>
      <c r="F41" s="78">
        <f ca="1">IF(D41=0,IF(E41=0,0,-1),E41/ABS(D41))</f>
        <v>1.9034561605539631E-3</v>
      </c>
      <c r="G41"/>
      <c r="H41" s="86">
        <f ca="1">SUM(H30,H39)</f>
        <v>1191249</v>
      </c>
      <c r="I41" s="41">
        <f ca="1">SUM(I30,I39)</f>
        <v>134760</v>
      </c>
      <c r="J41" s="78">
        <f ca="1">IF(H41=0,IF(I41=0,0,-1),I41/ABS(H41))</f>
        <v>0.11312496379850057</v>
      </c>
      <c r="K41" s="25"/>
    </row>
    <row r="42" spans="1:11" s="26" customFormat="1" ht="15" customHeight="1" x14ac:dyDescent="0.35">
      <c r="A42" s="28"/>
      <c r="B42" s="90"/>
      <c r="C42" s="94"/>
      <c r="D42" s="68"/>
      <c r="E42" s="68"/>
      <c r="F42" s="91"/>
      <c r="G42"/>
      <c r="H42" s="94"/>
      <c r="I42" s="68"/>
      <c r="J42" s="91"/>
      <c r="K42" s="25"/>
    </row>
    <row r="43" spans="1:11" s="26" customFormat="1" ht="15" customHeight="1" thickBot="1" x14ac:dyDescent="0.4">
      <c r="A43" s="28"/>
      <c r="B43" s="77" t="s">
        <v>37</v>
      </c>
      <c r="C43" s="87">
        <f ca="1">SUM(C25,C41)</f>
        <v>3970973</v>
      </c>
      <c r="D43" s="38">
        <f ca="1">SUM(D25,D41)</f>
        <v>3537359</v>
      </c>
      <c r="E43" s="38">
        <f ca="1">SUM(E25,E41)</f>
        <v>433614</v>
      </c>
      <c r="F43" s="79">
        <f ca="1">IF(D43=0,IF(E43=0,0,-1),E43/ABS(D43))</f>
        <v>0.12258128168500851</v>
      </c>
      <c r="G43"/>
      <c r="H43" s="87">
        <f ca="1">SUM(H25,H41)</f>
        <v>3225014</v>
      </c>
      <c r="I43" s="38">
        <f ca="1">SUM(I25,I41)</f>
        <v>312345</v>
      </c>
      <c r="J43" s="79">
        <f ca="1">IF(H43=0,IF(I43=0,0,-1),I43/ABS(H43))</f>
        <v>9.6850742353366534E-2</v>
      </c>
      <c r="K43" s="25"/>
    </row>
    <row r="44" spans="1:11" ht="15" customHeight="1" thickTop="1" x14ac:dyDescent="0.35"/>
  </sheetData>
  <conditionalFormatting sqref="D19">
    <cfRule type="expression" dxfId="9" priority="8" stopIfTrue="1">
      <formula>ROUND(D19-D43,0)&lt;&gt;0</formula>
    </cfRule>
  </conditionalFormatting>
  <conditionalFormatting sqref="D43">
    <cfRule type="expression" dxfId="8" priority="7" stopIfTrue="1">
      <formula>ROUND(D19-D43,0)&lt;&gt;0</formula>
    </cfRule>
  </conditionalFormatting>
  <conditionalFormatting sqref="C19">
    <cfRule type="expression" dxfId="7" priority="6" stopIfTrue="1">
      <formula>ROUND(C19-C43,0)&lt;&gt;0</formula>
    </cfRule>
  </conditionalFormatting>
  <conditionalFormatting sqref="C43">
    <cfRule type="expression" dxfId="6" priority="5" stopIfTrue="1">
      <formula>ROUND(C19-C43,0)&lt;&gt;0</formula>
    </cfRule>
  </conditionalFormatting>
  <conditionalFormatting sqref="H19">
    <cfRule type="expression" dxfId="5" priority="4" stopIfTrue="1">
      <formula>ROUND(H19-H43,0)&lt;&gt;0</formula>
    </cfRule>
  </conditionalFormatting>
  <conditionalFormatting sqref="H43">
    <cfRule type="expression" dxfId="4" priority="3" stopIfTrue="1">
      <formula>ROUND(H19-H43,0)&lt;&gt;0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C15:D15 H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7"/>
  <sheetViews>
    <sheetView zoomScale="95" zoomScaleNormal="95" workbookViewId="0">
      <pane ySplit="4" topLeftCell="A5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2.73046875" style="2" customWidth="1"/>
    <col min="2" max="2" width="36.1328125" style="2" bestFit="1" customWidth="1"/>
    <col min="3" max="3" width="16.73046875" style="9" customWidth="1"/>
    <col min="4" max="4" width="16.73046875" style="56" customWidth="1"/>
    <col min="5" max="5" width="15.73046875" style="9" customWidth="1"/>
    <col min="6" max="15" width="15.73046875" style="2" customWidth="1"/>
    <col min="16" max="16384" width="9.1328125" style="2"/>
  </cols>
  <sheetData>
    <row r="1" spans="1:5" x14ac:dyDescent="0.4">
      <c r="A1" s="1" t="s">
        <v>226</v>
      </c>
      <c r="B1" s="1"/>
      <c r="C1" s="55"/>
    </row>
    <row r="2" spans="1:5" ht="15" customHeight="1" x14ac:dyDescent="0.35">
      <c r="A2" s="3" t="s">
        <v>225</v>
      </c>
      <c r="B2" s="3"/>
      <c r="C2" s="57"/>
    </row>
    <row r="3" spans="1:5" ht="15" customHeight="1" x14ac:dyDescent="0.3">
      <c r="A3" s="10" t="s">
        <v>124</v>
      </c>
      <c r="B3" s="10"/>
      <c r="C3" s="9">
        <f ca="1">SUBTOTAL(109,OFFSET(C4,1,0,CheckRowCount,1))</f>
        <v>0</v>
      </c>
      <c r="D3" s="56" t="str">
        <f ca="1">IF(ROUND(C3,2)&lt;&gt;0,"error!","ok")</f>
        <v>ok</v>
      </c>
      <c r="E3" s="9">
        <f ca="1">SUBTOTAL(109,OFFSET(E4,1,0,CheckRowCount,1))</f>
        <v>0</v>
      </c>
    </row>
    <row r="4" spans="1:5" s="67" customFormat="1" ht="18" customHeight="1" x14ac:dyDescent="0.35">
      <c r="A4" s="53" t="s">
        <v>59</v>
      </c>
      <c r="B4" s="53" t="s">
        <v>14</v>
      </c>
      <c r="C4" s="61" t="s">
        <v>223</v>
      </c>
      <c r="D4" s="66" t="s">
        <v>224</v>
      </c>
      <c r="E4" s="54" t="s">
        <v>223</v>
      </c>
    </row>
    <row r="5" spans="1:5" ht="15" customHeight="1" x14ac:dyDescent="0.3">
      <c r="A5" s="2" t="s">
        <v>76</v>
      </c>
      <c r="B5" s="2" t="s">
        <v>227</v>
      </c>
      <c r="C5" s="9">
        <v>1950000</v>
      </c>
      <c r="D5" s="58" t="str">
        <f ca="1">IF(OFFSET(TB!$B$4,ROW($A5)-ROW($A$4),0,1,1)=$A5,"ok","error!")</f>
        <v>ok</v>
      </c>
      <c r="E5" s="9">
        <f>ROUND(C5,0)</f>
        <v>1950000</v>
      </c>
    </row>
    <row r="6" spans="1:5" ht="15" customHeight="1" x14ac:dyDescent="0.3">
      <c r="A6" s="2" t="s">
        <v>228</v>
      </c>
      <c r="B6" s="2" t="s">
        <v>229</v>
      </c>
      <c r="C6" s="9">
        <v>1346045</v>
      </c>
      <c r="D6" s="58" t="str">
        <f ca="1">IF(OFFSET(TB!$B$4,ROW($A6)-ROW($A$4),0,1,1)=$A6,"ok","error!")</f>
        <v>ok</v>
      </c>
      <c r="E6" s="9">
        <f t="shared" ref="E6:E67" si="0">ROUND(C6,0)</f>
        <v>1346045</v>
      </c>
    </row>
    <row r="7" spans="1:5" ht="15" customHeight="1" x14ac:dyDescent="0.3">
      <c r="A7" s="2" t="s">
        <v>230</v>
      </c>
      <c r="B7" s="2" t="s">
        <v>231</v>
      </c>
      <c r="C7" s="9">
        <v>210000</v>
      </c>
      <c r="D7" s="58" t="str">
        <f ca="1">IF(OFFSET(TB!$B$4,ROW($A7)-ROW($A$4),0,1,1)=$A7,"ok","error!")</f>
        <v>ok</v>
      </c>
      <c r="E7" s="9">
        <f t="shared" si="0"/>
        <v>210000</v>
      </c>
    </row>
    <row r="8" spans="1:5" ht="15" customHeight="1" x14ac:dyDescent="0.3">
      <c r="A8" s="2" t="s">
        <v>77</v>
      </c>
      <c r="B8" s="2" t="s">
        <v>232</v>
      </c>
      <c r="C8" s="9">
        <v>-420000</v>
      </c>
      <c r="D8" s="58" t="str">
        <f ca="1">IF(OFFSET(TB!$B$4,ROW($A8)-ROW($A$4),0,1,1)=$A8,"ok","error!")</f>
        <v>ok</v>
      </c>
      <c r="E8" s="9">
        <f t="shared" si="0"/>
        <v>-420000</v>
      </c>
    </row>
    <row r="9" spans="1:5" ht="15" customHeight="1" x14ac:dyDescent="0.3">
      <c r="A9" s="2" t="s">
        <v>233</v>
      </c>
      <c r="B9" s="2" t="s">
        <v>234</v>
      </c>
      <c r="C9" s="9">
        <v>-278100</v>
      </c>
      <c r="D9" s="58" t="str">
        <f ca="1">IF(OFFSET(TB!$B$4,ROW($A9)-ROW($A$4),0,1,1)=$A9,"ok","error!")</f>
        <v>ok</v>
      </c>
      <c r="E9" s="9">
        <f t="shared" si="0"/>
        <v>-278100</v>
      </c>
    </row>
    <row r="10" spans="1:5" ht="15" customHeight="1" x14ac:dyDescent="0.3">
      <c r="A10" s="2" t="s">
        <v>235</v>
      </c>
      <c r="B10" s="2" t="s">
        <v>236</v>
      </c>
      <c r="C10" s="9">
        <v>-58000</v>
      </c>
      <c r="D10" s="58" t="str">
        <f ca="1">IF(OFFSET(TB!$B$4,ROW($A10)-ROW($A$4),0,1,1)=$A10,"ok","error!")</f>
        <v>ok</v>
      </c>
      <c r="E10" s="9">
        <f t="shared" si="0"/>
        <v>-58000</v>
      </c>
    </row>
    <row r="11" spans="1:5" ht="15" customHeight="1" x14ac:dyDescent="0.3">
      <c r="A11" s="2" t="s">
        <v>78</v>
      </c>
      <c r="B11" s="2" t="s">
        <v>237</v>
      </c>
      <c r="C11" s="9">
        <v>50000</v>
      </c>
      <c r="D11" s="58" t="str">
        <f ca="1">IF(OFFSET(TB!$B$4,ROW($A11)-ROW($A$4),0,1,1)=$A11,"ok","error!")</f>
        <v>ok</v>
      </c>
      <c r="E11" s="9">
        <f t="shared" si="0"/>
        <v>50000</v>
      </c>
    </row>
    <row r="12" spans="1:5" ht="15" customHeight="1" x14ac:dyDescent="0.3">
      <c r="A12" s="2" t="s">
        <v>238</v>
      </c>
      <c r="B12" s="2" t="s">
        <v>239</v>
      </c>
      <c r="C12" s="9">
        <v>39500</v>
      </c>
      <c r="D12" s="58" t="str">
        <f ca="1">IF(OFFSET(TB!$B$4,ROW($A12)-ROW($A$4),0,1,1)=$A12,"ok","error!")</f>
        <v>ok</v>
      </c>
      <c r="E12" s="9">
        <f t="shared" si="0"/>
        <v>39500</v>
      </c>
    </row>
    <row r="13" spans="1:5" ht="15" customHeight="1" x14ac:dyDescent="0.3">
      <c r="A13" s="2" t="s">
        <v>240</v>
      </c>
      <c r="B13" s="2" t="s">
        <v>241</v>
      </c>
      <c r="C13" s="9">
        <v>18500</v>
      </c>
      <c r="D13" s="58" t="str">
        <f ca="1">IF(OFFSET(TB!$B$4,ROW($A13)-ROW($A$4),0,1,1)=$A13,"ok","error!")</f>
        <v>ok</v>
      </c>
      <c r="E13" s="9">
        <f t="shared" si="0"/>
        <v>18500</v>
      </c>
    </row>
    <row r="14" spans="1:5" ht="15" customHeight="1" x14ac:dyDescent="0.3">
      <c r="A14" s="2" t="s">
        <v>242</v>
      </c>
      <c r="B14" s="2" t="s">
        <v>243</v>
      </c>
      <c r="C14" s="9">
        <v>-50000</v>
      </c>
      <c r="D14" s="58" t="str">
        <f ca="1">IF(OFFSET(TB!$B$4,ROW($A14)-ROW($A$4),0,1,1)=$A14,"ok","error!")</f>
        <v>ok</v>
      </c>
      <c r="E14" s="9">
        <f t="shared" si="0"/>
        <v>-50000</v>
      </c>
    </row>
    <row r="15" spans="1:5" ht="15" customHeight="1" x14ac:dyDescent="0.3">
      <c r="A15" s="2" t="s">
        <v>244</v>
      </c>
      <c r="B15" s="2" t="s">
        <v>245</v>
      </c>
      <c r="C15" s="9">
        <v>-11450</v>
      </c>
      <c r="D15" s="58" t="str">
        <f ca="1">IF(OFFSET(TB!$B$4,ROW($A15)-ROW($A$4),0,1,1)=$A15,"ok","error!")</f>
        <v>ok</v>
      </c>
      <c r="E15" s="9">
        <f t="shared" si="0"/>
        <v>-11450</v>
      </c>
    </row>
    <row r="16" spans="1:5" ht="15" customHeight="1" x14ac:dyDescent="0.3">
      <c r="A16" s="2" t="s">
        <v>246</v>
      </c>
      <c r="B16" s="2" t="s">
        <v>247</v>
      </c>
      <c r="C16" s="9">
        <v>-13650</v>
      </c>
      <c r="D16" s="58" t="str">
        <f ca="1">IF(OFFSET(TB!$B$4,ROW($A16)-ROW($A$4),0,1,1)=$A16,"ok","error!")</f>
        <v>ok</v>
      </c>
      <c r="E16" s="9">
        <f t="shared" si="0"/>
        <v>-13650</v>
      </c>
    </row>
    <row r="17" spans="1:5" ht="15" customHeight="1" x14ac:dyDescent="0.3">
      <c r="A17" s="2" t="s">
        <v>248</v>
      </c>
      <c r="B17" s="2" t="s">
        <v>16</v>
      </c>
      <c r="C17" s="9">
        <v>142500</v>
      </c>
      <c r="D17" s="58" t="str">
        <f ca="1">IF(OFFSET(TB!$B$4,ROW($A17)-ROW($A$4),0,1,1)=$A17,"ok","error!")</f>
        <v>ok</v>
      </c>
      <c r="E17" s="9">
        <f t="shared" si="0"/>
        <v>142500</v>
      </c>
    </row>
    <row r="18" spans="1:5" ht="15" customHeight="1" x14ac:dyDescent="0.3">
      <c r="A18" s="2" t="s">
        <v>87</v>
      </c>
      <c r="B18" s="2" t="s">
        <v>88</v>
      </c>
      <c r="C18" s="9">
        <v>2700</v>
      </c>
      <c r="D18" s="58" t="str">
        <f ca="1">IF(OFFSET(TB!$B$4,ROW($A18)-ROW($A$4),0,1,1)=$A18,"ok","error!")</f>
        <v>ok</v>
      </c>
      <c r="E18" s="9">
        <f t="shared" si="0"/>
        <v>2700</v>
      </c>
    </row>
    <row r="19" spans="1:5" ht="15" customHeight="1" x14ac:dyDescent="0.3">
      <c r="A19" s="2" t="s">
        <v>249</v>
      </c>
      <c r="B19" s="2" t="s">
        <v>250</v>
      </c>
      <c r="C19" s="9">
        <v>-83600</v>
      </c>
      <c r="D19" s="58" t="str">
        <f ca="1">IF(OFFSET(TB!$B$4,ROW($A19)-ROW($A$4),0,1,1)=$A19,"ok","error!")</f>
        <v>ok</v>
      </c>
      <c r="E19" s="9">
        <f t="shared" si="0"/>
        <v>-83600</v>
      </c>
    </row>
    <row r="20" spans="1:5" ht="15" customHeight="1" x14ac:dyDescent="0.3">
      <c r="A20" s="2" t="s">
        <v>251</v>
      </c>
      <c r="B20" s="2" t="s">
        <v>252</v>
      </c>
      <c r="C20" s="9">
        <v>47000</v>
      </c>
      <c r="D20" s="58" t="str">
        <f ca="1">IF(OFFSET(TB!$B$4,ROW($A20)-ROW($A$4),0,1,1)=$A20,"ok","error!")</f>
        <v>ok</v>
      </c>
      <c r="E20" s="9">
        <f t="shared" si="0"/>
        <v>47000</v>
      </c>
    </row>
    <row r="21" spans="1:5" ht="15" customHeight="1" x14ac:dyDescent="0.3">
      <c r="A21" s="2" t="s">
        <v>73</v>
      </c>
      <c r="B21" s="2" t="s">
        <v>74</v>
      </c>
      <c r="C21" s="9">
        <v>928788</v>
      </c>
      <c r="D21" s="58" t="str">
        <f ca="1">IF(OFFSET(TB!$B$4,ROW($A21)-ROW($A$4),0,1,1)=$A21,"ok","error!")</f>
        <v>ok</v>
      </c>
      <c r="E21" s="9">
        <f t="shared" si="0"/>
        <v>928788</v>
      </c>
    </row>
    <row r="22" spans="1:5" ht="15" customHeight="1" x14ac:dyDescent="0.3">
      <c r="A22" s="2" t="s">
        <v>217</v>
      </c>
      <c r="B22" s="2" t="s">
        <v>253</v>
      </c>
      <c r="C22" s="9">
        <v>56760</v>
      </c>
      <c r="D22" s="58" t="str">
        <f ca="1">IF(OFFSET(TB!$B$4,ROW($A22)-ROW($A$4),0,1,1)=$A22,"ok","error!")</f>
        <v>ok</v>
      </c>
      <c r="E22" s="9">
        <f t="shared" si="0"/>
        <v>56760</v>
      </c>
    </row>
    <row r="23" spans="1:5" ht="15" customHeight="1" x14ac:dyDescent="0.3">
      <c r="A23" s="2" t="s">
        <v>75</v>
      </c>
      <c r="B23" s="2" t="s">
        <v>254</v>
      </c>
      <c r="C23" s="9">
        <v>42600</v>
      </c>
      <c r="D23" s="58" t="str">
        <f ca="1">IF(OFFSET(TB!$B$4,ROW($A23)-ROW($A$4),0,1,1)=$A23,"ok","error!")</f>
        <v>ok</v>
      </c>
      <c r="E23" s="9">
        <f t="shared" si="0"/>
        <v>42600</v>
      </c>
    </row>
    <row r="24" spans="1:5" ht="15" customHeight="1" x14ac:dyDescent="0.3">
      <c r="A24" s="2" t="s">
        <v>255</v>
      </c>
      <c r="B24" s="2" t="s">
        <v>256</v>
      </c>
      <c r="C24" s="9">
        <v>1140</v>
      </c>
      <c r="D24" s="58" t="str">
        <f ca="1">IF(OFFSET(TB!$B$4,ROW($A24)-ROW($A$4),0,1,1)=$A24,"ok","error!")</f>
        <v>ok</v>
      </c>
      <c r="E24" s="9">
        <f t="shared" si="0"/>
        <v>1140</v>
      </c>
    </row>
    <row r="25" spans="1:5" ht="15" customHeight="1" x14ac:dyDescent="0.3">
      <c r="A25" s="2" t="s">
        <v>257</v>
      </c>
      <c r="B25" s="2" t="s">
        <v>258</v>
      </c>
      <c r="C25" s="9">
        <v>13640</v>
      </c>
      <c r="D25" s="58" t="str">
        <f ca="1">IF(OFFSET(TB!$B$4,ROW($A25)-ROW($A$4),0,1,1)=$A25,"ok","error!")</f>
        <v>ok</v>
      </c>
      <c r="E25" s="9">
        <f t="shared" si="0"/>
        <v>13640</v>
      </c>
    </row>
    <row r="26" spans="1:5" ht="15" customHeight="1" x14ac:dyDescent="0.3">
      <c r="A26" s="2" t="s">
        <v>85</v>
      </c>
      <c r="B26" s="2" t="s">
        <v>86</v>
      </c>
      <c r="C26" s="9">
        <v>-275030</v>
      </c>
      <c r="D26" s="58" t="str">
        <f ca="1">IF(OFFSET(TB!$B$4,ROW($A26)-ROW($A$4),0,1,1)=$A26,"ok","error!")</f>
        <v>ok</v>
      </c>
      <c r="E26" s="9">
        <f t="shared" si="0"/>
        <v>-275030</v>
      </c>
    </row>
    <row r="27" spans="1:5" ht="15" customHeight="1" x14ac:dyDescent="0.3">
      <c r="A27" s="2" t="s">
        <v>259</v>
      </c>
      <c r="B27" s="2" t="s">
        <v>260</v>
      </c>
      <c r="C27" s="9">
        <v>-79500</v>
      </c>
      <c r="D27" s="58" t="str">
        <f ca="1">IF(OFFSET(TB!$B$4,ROW($A27)-ROW($A$4),0,1,1)=$A27,"ok","error!")</f>
        <v>ok</v>
      </c>
      <c r="E27" s="9">
        <f t="shared" si="0"/>
        <v>-79500</v>
      </c>
    </row>
    <row r="28" spans="1:5" ht="15" customHeight="1" x14ac:dyDescent="0.3">
      <c r="A28" s="2" t="s">
        <v>261</v>
      </c>
      <c r="B28" s="2" t="s">
        <v>218</v>
      </c>
      <c r="C28" s="9">
        <v>-2000</v>
      </c>
      <c r="D28" s="58" t="str">
        <f ca="1">IF(OFFSET(TB!$B$4,ROW($A28)-ROW($A$4),0,1,1)=$A28,"ok","error!")</f>
        <v>ok</v>
      </c>
      <c r="E28" s="9">
        <f t="shared" si="0"/>
        <v>-2000</v>
      </c>
    </row>
    <row r="29" spans="1:5" ht="15" customHeight="1" x14ac:dyDescent="0.3">
      <c r="A29" s="2" t="s">
        <v>262</v>
      </c>
      <c r="B29" s="2" t="s">
        <v>263</v>
      </c>
      <c r="C29" s="9">
        <v>-271647</v>
      </c>
      <c r="D29" s="58" t="str">
        <f ca="1">IF(OFFSET(TB!$B$4,ROW($A29)-ROW($A$4),0,1,1)=$A29,"ok","error!")</f>
        <v>ok</v>
      </c>
      <c r="E29" s="9">
        <f t="shared" si="0"/>
        <v>-271647</v>
      </c>
    </row>
    <row r="30" spans="1:5" ht="15" customHeight="1" x14ac:dyDescent="0.3">
      <c r="A30" s="2" t="s">
        <v>264</v>
      </c>
      <c r="B30" s="2" t="s">
        <v>219</v>
      </c>
      <c r="C30" s="9">
        <v>-150000</v>
      </c>
      <c r="D30" s="58" t="str">
        <f ca="1">IF(OFFSET(TB!$B$4,ROW($A30)-ROW($A$4),0,1,1)=$A30,"ok","error!")</f>
        <v>ok</v>
      </c>
      <c r="E30" s="9">
        <f t="shared" si="0"/>
        <v>-150000</v>
      </c>
    </row>
    <row r="31" spans="1:5" ht="15" customHeight="1" x14ac:dyDescent="0.3">
      <c r="A31" s="2" t="s">
        <v>265</v>
      </c>
      <c r="B31" s="2" t="s">
        <v>266</v>
      </c>
      <c r="C31" s="9">
        <v>-214823</v>
      </c>
      <c r="D31" s="58" t="str">
        <f ca="1">IF(OFFSET(TB!$B$4,ROW($A31)-ROW($A$4),0,1,1)=$A31,"ok","error!")</f>
        <v>ok</v>
      </c>
      <c r="E31" s="9">
        <f t="shared" si="0"/>
        <v>-214823</v>
      </c>
    </row>
    <row r="32" spans="1:5" ht="15" customHeight="1" x14ac:dyDescent="0.3">
      <c r="A32" s="2" t="s">
        <v>80</v>
      </c>
      <c r="B32" s="2" t="s">
        <v>81</v>
      </c>
      <c r="C32" s="9">
        <v>-250000</v>
      </c>
      <c r="D32" s="58" t="str">
        <f ca="1">IF(OFFSET(TB!$B$4,ROW($A32)-ROW($A$4),0,1,1)=$A32,"ok","error!")</f>
        <v>ok</v>
      </c>
      <c r="E32" s="9">
        <f t="shared" si="0"/>
        <v>-250000</v>
      </c>
    </row>
    <row r="33" spans="1:5" ht="15" customHeight="1" x14ac:dyDescent="0.3">
      <c r="A33" s="2" t="s">
        <v>267</v>
      </c>
      <c r="B33" s="2" t="s">
        <v>268</v>
      </c>
      <c r="C33" s="9">
        <v>-44624</v>
      </c>
      <c r="D33" s="58" t="str">
        <f ca="1">IF(OFFSET(TB!$B$4,ROW($A33)-ROW($A$4),0,1,1)=$A33,"ok","error!")</f>
        <v>ok</v>
      </c>
      <c r="E33" s="9">
        <f t="shared" si="0"/>
        <v>-44624</v>
      </c>
    </row>
    <row r="34" spans="1:5" ht="15" customHeight="1" x14ac:dyDescent="0.3">
      <c r="A34" s="2" t="s">
        <v>79</v>
      </c>
      <c r="B34" s="2" t="s">
        <v>269</v>
      </c>
      <c r="C34" s="9">
        <v>-4309</v>
      </c>
      <c r="D34" s="58" t="str">
        <f ca="1">IF(OFFSET(TB!$B$4,ROW($A34)-ROW($A$4),0,1,1)=$A34,"ok","error!")</f>
        <v>ok</v>
      </c>
      <c r="E34" s="9">
        <f t="shared" si="0"/>
        <v>-4309</v>
      </c>
    </row>
    <row r="35" spans="1:5" ht="15" customHeight="1" x14ac:dyDescent="0.3">
      <c r="A35" s="2" t="s">
        <v>270</v>
      </c>
      <c r="B35" s="2" t="s">
        <v>23</v>
      </c>
      <c r="C35" s="9">
        <v>-45000</v>
      </c>
      <c r="D35" s="58" t="str">
        <f ca="1">IF(OFFSET(TB!$B$4,ROW($A35)-ROW($A$4),0,1,1)=$A35,"ok","error!")</f>
        <v>ok</v>
      </c>
      <c r="E35" s="9">
        <f t="shared" si="0"/>
        <v>-45000</v>
      </c>
    </row>
    <row r="36" spans="1:5" ht="15" customHeight="1" x14ac:dyDescent="0.3">
      <c r="A36" s="2" t="s">
        <v>271</v>
      </c>
      <c r="B36" s="2" t="s">
        <v>272</v>
      </c>
      <c r="C36" s="9">
        <v>-2171350</v>
      </c>
      <c r="D36" s="58" t="str">
        <f ca="1">IF(OFFSET(TB!$B$4,ROW($A36)-ROW($A$4),0,1,1)=$A36,"ok","error!")</f>
        <v>ok</v>
      </c>
      <c r="E36" s="9">
        <f t="shared" si="0"/>
        <v>-2171350</v>
      </c>
    </row>
    <row r="37" spans="1:5" ht="15" customHeight="1" x14ac:dyDescent="0.3">
      <c r="A37" s="2" t="s">
        <v>57</v>
      </c>
      <c r="B37" s="2" t="s">
        <v>273</v>
      </c>
      <c r="C37" s="9">
        <v>-6743544</v>
      </c>
      <c r="D37" s="58" t="str">
        <f ca="1">IF(OFFSET(TB!$B$4,ROW($A37)-ROW($A$4),0,1,1)=$A37,"ok","error!")</f>
        <v>ok</v>
      </c>
      <c r="E37" s="9">
        <f t="shared" si="0"/>
        <v>-6743544</v>
      </c>
    </row>
    <row r="38" spans="1:5" ht="15" customHeight="1" x14ac:dyDescent="0.3">
      <c r="A38" s="2" t="s">
        <v>274</v>
      </c>
      <c r="B38" s="2" t="s">
        <v>275</v>
      </c>
      <c r="C38" s="9">
        <v>-120000</v>
      </c>
      <c r="D38" s="58" t="str">
        <f ca="1">IF(OFFSET(TB!$B$4,ROW($A38)-ROW($A$4),0,1,1)=$A38,"ok","error!")</f>
        <v>ok</v>
      </c>
      <c r="E38" s="9">
        <f t="shared" si="0"/>
        <v>-120000</v>
      </c>
    </row>
    <row r="39" spans="1:5" ht="15" customHeight="1" x14ac:dyDescent="0.3">
      <c r="A39" s="2" t="s">
        <v>276</v>
      </c>
      <c r="B39" s="2" t="s">
        <v>215</v>
      </c>
      <c r="C39" s="9">
        <v>-22999</v>
      </c>
      <c r="D39" s="58" t="str">
        <f ca="1">IF(OFFSET(TB!$B$4,ROW($A39)-ROW($A$4),0,1,1)=$A39,"ok","error!")</f>
        <v>ok</v>
      </c>
      <c r="E39" s="9">
        <f t="shared" si="0"/>
        <v>-22999</v>
      </c>
    </row>
    <row r="40" spans="1:5" ht="15" customHeight="1" x14ac:dyDescent="0.3">
      <c r="A40" s="2" t="s">
        <v>277</v>
      </c>
      <c r="B40" s="2" t="s">
        <v>212</v>
      </c>
      <c r="C40" s="9">
        <v>-27000</v>
      </c>
      <c r="D40" s="58" t="str">
        <f ca="1">IF(OFFSET(TB!$B$4,ROW($A40)-ROW($A$4),0,1,1)=$A40,"ok","error!")</f>
        <v>ok</v>
      </c>
      <c r="E40" s="9">
        <f t="shared" si="0"/>
        <v>-27000</v>
      </c>
    </row>
    <row r="41" spans="1:5" ht="15" customHeight="1" x14ac:dyDescent="0.3">
      <c r="A41" s="2" t="s">
        <v>278</v>
      </c>
      <c r="B41" s="2" t="s">
        <v>287</v>
      </c>
      <c r="C41" s="9">
        <v>-61850</v>
      </c>
      <c r="D41" s="58" t="str">
        <f ca="1">IF(OFFSET(TB!$B$4,ROW($A41)-ROW($A$4),0,1,1)=$A41,"ok","error!")</f>
        <v>ok</v>
      </c>
      <c r="E41" s="9">
        <f t="shared" si="0"/>
        <v>-61850</v>
      </c>
    </row>
    <row r="42" spans="1:5" ht="15" customHeight="1" x14ac:dyDescent="0.3">
      <c r="A42" s="2" t="s">
        <v>58</v>
      </c>
      <c r="B42" s="2" t="s">
        <v>279</v>
      </c>
      <c r="C42" s="9">
        <v>5355770</v>
      </c>
      <c r="D42" s="58" t="str">
        <f ca="1">IF(OFFSET(TB!$B$4,ROW($A42)-ROW($A$4),0,1,1)=$A42,"ok","error!")</f>
        <v>ok</v>
      </c>
      <c r="E42" s="9">
        <f t="shared" si="0"/>
        <v>5355770</v>
      </c>
    </row>
    <row r="43" spans="1:5" ht="15" customHeight="1" x14ac:dyDescent="0.3">
      <c r="A43" s="2" t="s">
        <v>61</v>
      </c>
      <c r="B43" s="2" t="s">
        <v>155</v>
      </c>
      <c r="C43" s="9">
        <v>8421</v>
      </c>
      <c r="D43" s="58" t="str">
        <f ca="1">IF(OFFSET(TB!$B$4,ROW($A43)-ROW($A$4),0,1,1)=$A43,"ok","error!")</f>
        <v>ok</v>
      </c>
      <c r="E43" s="9">
        <f t="shared" si="0"/>
        <v>8421</v>
      </c>
    </row>
    <row r="44" spans="1:5" ht="15" customHeight="1" x14ac:dyDescent="0.3">
      <c r="A44" s="2" t="s">
        <v>62</v>
      </c>
      <c r="B44" s="2" t="s">
        <v>67</v>
      </c>
      <c r="C44" s="9">
        <v>13684</v>
      </c>
      <c r="D44" s="58" t="str">
        <f ca="1">IF(OFFSET(TB!$B$4,ROW($A44)-ROW($A$4),0,1,1)=$A44,"ok","error!")</f>
        <v>ok</v>
      </c>
      <c r="E44" s="9">
        <f t="shared" si="0"/>
        <v>13684</v>
      </c>
    </row>
    <row r="45" spans="1:5" ht="15" customHeight="1" x14ac:dyDescent="0.3">
      <c r="A45" s="2" t="s">
        <v>63</v>
      </c>
      <c r="B45" s="2" t="s">
        <v>156</v>
      </c>
      <c r="C45" s="9">
        <v>526</v>
      </c>
      <c r="D45" s="58" t="str">
        <f ca="1">IF(OFFSET(TB!$B$4,ROW($A45)-ROW($A$4),0,1,1)=$A45,"ok","error!")</f>
        <v>ok</v>
      </c>
      <c r="E45" s="9">
        <f t="shared" si="0"/>
        <v>526</v>
      </c>
    </row>
    <row r="46" spans="1:5" ht="15" customHeight="1" x14ac:dyDescent="0.3">
      <c r="A46" s="2" t="s">
        <v>137</v>
      </c>
      <c r="B46" s="2" t="s">
        <v>157</v>
      </c>
      <c r="C46" s="9">
        <v>0</v>
      </c>
      <c r="D46" s="58" t="str">
        <f ca="1">IF(OFFSET(TB!$B$4,ROW($A46)-ROW($A$4),0,1,1)=$A46,"ok","error!")</f>
        <v>ok</v>
      </c>
      <c r="E46" s="9">
        <f t="shared" si="0"/>
        <v>0</v>
      </c>
    </row>
    <row r="47" spans="1:5" ht="15" customHeight="1" x14ac:dyDescent="0.3">
      <c r="A47" s="2" t="s">
        <v>138</v>
      </c>
      <c r="B47" s="2" t="s">
        <v>158</v>
      </c>
      <c r="C47" s="9">
        <v>1246</v>
      </c>
      <c r="D47" s="58" t="str">
        <f ca="1">IF(OFFSET(TB!$B$4,ROW($A47)-ROW($A$4),0,1,1)=$A47,"ok","error!")</f>
        <v>ok</v>
      </c>
      <c r="E47" s="9">
        <f t="shared" si="0"/>
        <v>1246</v>
      </c>
    </row>
    <row r="48" spans="1:5" ht="15" customHeight="1" x14ac:dyDescent="0.3">
      <c r="A48" s="2" t="s">
        <v>139</v>
      </c>
      <c r="B48" s="2" t="s">
        <v>159</v>
      </c>
      <c r="C48" s="9">
        <v>337</v>
      </c>
      <c r="D48" s="58" t="str">
        <f ca="1">IF(OFFSET(TB!$B$4,ROW($A48)-ROW($A$4),0,1,1)=$A48,"ok","error!")</f>
        <v>ok</v>
      </c>
      <c r="E48" s="9">
        <f t="shared" si="0"/>
        <v>337</v>
      </c>
    </row>
    <row r="49" spans="1:5" ht="15" customHeight="1" x14ac:dyDescent="0.3">
      <c r="A49" s="2" t="s">
        <v>140</v>
      </c>
      <c r="B49" s="2" t="s">
        <v>160</v>
      </c>
      <c r="C49" s="9">
        <v>0</v>
      </c>
      <c r="D49" s="58" t="str">
        <f ca="1">IF(OFFSET(TB!$B$4,ROW($A49)-ROW($A$4),0,1,1)=$A49,"ok","error!")</f>
        <v>ok</v>
      </c>
      <c r="E49" s="9">
        <f t="shared" si="0"/>
        <v>0</v>
      </c>
    </row>
    <row r="50" spans="1:5" ht="15" customHeight="1" x14ac:dyDescent="0.3">
      <c r="A50" s="2" t="s">
        <v>141</v>
      </c>
      <c r="B50" s="2" t="s">
        <v>161</v>
      </c>
      <c r="C50" s="9">
        <v>3404</v>
      </c>
      <c r="D50" s="58" t="str">
        <f ca="1">IF(OFFSET(TB!$B$4,ROW($A50)-ROW($A$4),0,1,1)=$A50,"ok","error!")</f>
        <v>ok</v>
      </c>
      <c r="E50" s="9">
        <f t="shared" si="0"/>
        <v>3404</v>
      </c>
    </row>
    <row r="51" spans="1:5" ht="15" customHeight="1" x14ac:dyDescent="0.3">
      <c r="A51" s="2" t="s">
        <v>142</v>
      </c>
      <c r="B51" s="2" t="s">
        <v>162</v>
      </c>
      <c r="C51" s="9">
        <v>1402</v>
      </c>
      <c r="D51" s="58" t="str">
        <f ca="1">IF(OFFSET(TB!$B$4,ROW($A51)-ROW($A$4),0,1,1)=$A51,"ok","error!")</f>
        <v>ok</v>
      </c>
      <c r="E51" s="9">
        <f t="shared" si="0"/>
        <v>1402</v>
      </c>
    </row>
    <row r="52" spans="1:5" ht="15" customHeight="1" x14ac:dyDescent="0.3">
      <c r="A52" s="2" t="s">
        <v>143</v>
      </c>
      <c r="B52" s="2" t="s">
        <v>163</v>
      </c>
      <c r="C52" s="9">
        <v>84210</v>
      </c>
      <c r="D52" s="58" t="str">
        <f ca="1">IF(OFFSET(TB!$B$4,ROW($A52)-ROW($A$4),0,1,1)=$A52,"ok","error!")</f>
        <v>ok</v>
      </c>
      <c r="E52" s="9">
        <f t="shared" si="0"/>
        <v>84210</v>
      </c>
    </row>
    <row r="53" spans="1:5" ht="15" customHeight="1" x14ac:dyDescent="0.3">
      <c r="A53" s="2" t="s">
        <v>144</v>
      </c>
      <c r="B53" s="2" t="s">
        <v>164</v>
      </c>
      <c r="C53" s="9">
        <v>621</v>
      </c>
      <c r="D53" s="58" t="str">
        <f ca="1">IF(OFFSET(TB!$B$4,ROW($A53)-ROW($A$4),0,1,1)=$A53,"ok","error!")</f>
        <v>ok</v>
      </c>
      <c r="E53" s="9">
        <f t="shared" si="0"/>
        <v>621</v>
      </c>
    </row>
    <row r="54" spans="1:5" ht="15" customHeight="1" x14ac:dyDescent="0.3">
      <c r="A54" s="2" t="s">
        <v>145</v>
      </c>
      <c r="B54" s="2" t="s">
        <v>165</v>
      </c>
      <c r="C54" s="9">
        <v>0</v>
      </c>
      <c r="D54" s="58" t="str">
        <f ca="1">IF(OFFSET(TB!$B$4,ROW($A54)-ROW($A$4),0,1,1)=$A54,"ok","error!")</f>
        <v>ok</v>
      </c>
      <c r="E54" s="9">
        <f t="shared" si="0"/>
        <v>0</v>
      </c>
    </row>
    <row r="55" spans="1:5" ht="15" customHeight="1" x14ac:dyDescent="0.3">
      <c r="A55" s="2" t="s">
        <v>146</v>
      </c>
      <c r="B55" s="2" t="s">
        <v>166</v>
      </c>
      <c r="C55" s="9">
        <v>470000</v>
      </c>
      <c r="D55" s="58" t="str">
        <f ca="1">IF(OFFSET(TB!$B$4,ROW($A55)-ROW($A$4),0,1,1)=$A55,"ok","error!")</f>
        <v>ok</v>
      </c>
      <c r="E55" s="9">
        <f t="shared" si="0"/>
        <v>470000</v>
      </c>
    </row>
    <row r="56" spans="1:5" ht="15" customHeight="1" x14ac:dyDescent="0.3">
      <c r="A56" s="2" t="s">
        <v>147</v>
      </c>
      <c r="B56" s="2" t="s">
        <v>167</v>
      </c>
      <c r="C56" s="9">
        <v>1292</v>
      </c>
      <c r="D56" s="58" t="str">
        <f ca="1">IF(OFFSET(TB!$B$4,ROW($A56)-ROW($A$4),0,1,1)=$A56,"ok","error!")</f>
        <v>ok</v>
      </c>
      <c r="E56" s="9">
        <f t="shared" si="0"/>
        <v>1292</v>
      </c>
    </row>
    <row r="57" spans="1:5" ht="15" customHeight="1" x14ac:dyDescent="0.3">
      <c r="A57" s="2" t="s">
        <v>148</v>
      </c>
      <c r="B57" s="2" t="s">
        <v>168</v>
      </c>
      <c r="C57" s="9">
        <v>1450</v>
      </c>
      <c r="D57" s="58" t="str">
        <f ca="1">IF(OFFSET(TB!$B$4,ROW($A57)-ROW($A$4),0,1,1)=$A57,"ok","error!")</f>
        <v>ok</v>
      </c>
      <c r="E57" s="9">
        <f t="shared" si="0"/>
        <v>1450</v>
      </c>
    </row>
    <row r="58" spans="1:5" ht="15" customHeight="1" x14ac:dyDescent="0.3">
      <c r="A58" s="2" t="s">
        <v>149</v>
      </c>
      <c r="B58" s="2" t="s">
        <v>169</v>
      </c>
      <c r="C58" s="9">
        <v>12204</v>
      </c>
      <c r="D58" s="58" t="str">
        <f ca="1">IF(OFFSET(TB!$B$4,ROW($A58)-ROW($A$4),0,1,1)=$A58,"ok","error!")</f>
        <v>ok</v>
      </c>
      <c r="E58" s="9">
        <f t="shared" si="0"/>
        <v>12204</v>
      </c>
    </row>
    <row r="59" spans="1:5" ht="15" customHeight="1" x14ac:dyDescent="0.3">
      <c r="A59" s="2" t="s">
        <v>150</v>
      </c>
      <c r="B59" s="2" t="s">
        <v>170</v>
      </c>
      <c r="C59" s="9">
        <v>592</v>
      </c>
      <c r="D59" s="58" t="str">
        <f ca="1">IF(OFFSET(TB!$B$4,ROW($A59)-ROW($A$4),0,1,1)=$A59,"ok","error!")</f>
        <v>ok</v>
      </c>
      <c r="E59" s="9">
        <f t="shared" si="0"/>
        <v>592</v>
      </c>
    </row>
    <row r="60" spans="1:5" ht="15" customHeight="1" x14ac:dyDescent="0.3">
      <c r="A60" s="2" t="s">
        <v>151</v>
      </c>
      <c r="B60" s="2" t="s">
        <v>171</v>
      </c>
      <c r="C60" s="9">
        <v>3750</v>
      </c>
      <c r="D60" s="58" t="str">
        <f ca="1">IF(OFFSET(TB!$B$4,ROW($A60)-ROW($A$4),0,1,1)=$A60,"ok","error!")</f>
        <v>ok</v>
      </c>
      <c r="E60" s="9">
        <f t="shared" si="0"/>
        <v>3750</v>
      </c>
    </row>
    <row r="61" spans="1:5" ht="15" customHeight="1" x14ac:dyDescent="0.3">
      <c r="A61" s="2" t="s">
        <v>152</v>
      </c>
      <c r="B61" s="2" t="s">
        <v>172</v>
      </c>
      <c r="C61" s="9">
        <v>0</v>
      </c>
      <c r="D61" s="58" t="str">
        <f ca="1">IF(OFFSET(TB!$B$4,ROW($A61)-ROW($A$4),0,1,1)=$A61,"ok","error!")</f>
        <v>ok</v>
      </c>
      <c r="E61" s="9">
        <f t="shared" si="0"/>
        <v>0</v>
      </c>
    </row>
    <row r="62" spans="1:5" ht="15" customHeight="1" x14ac:dyDescent="0.3">
      <c r="A62" s="2" t="s">
        <v>153</v>
      </c>
      <c r="B62" s="2" t="s">
        <v>173</v>
      </c>
      <c r="C62" s="9">
        <v>95510</v>
      </c>
      <c r="D62" s="58" t="str">
        <f ca="1">IF(OFFSET(TB!$B$4,ROW($A62)-ROW($A$4),0,1,1)=$A62,"ok","error!")</f>
        <v>ok</v>
      </c>
      <c r="E62" s="9">
        <f t="shared" si="0"/>
        <v>95510</v>
      </c>
    </row>
    <row r="63" spans="1:5" ht="15" customHeight="1" x14ac:dyDescent="0.3">
      <c r="A63" s="2" t="s">
        <v>285</v>
      </c>
      <c r="B63" s="2" t="s">
        <v>286</v>
      </c>
      <c r="C63" s="9">
        <v>38650</v>
      </c>
      <c r="D63" s="58" t="str">
        <f ca="1">IF(OFFSET(TB!$B$4,ROW($A63)-ROW($A$4),0,1,1)=$A63,"ok","error!")</f>
        <v>ok</v>
      </c>
      <c r="E63" s="9">
        <f t="shared" ref="E63" si="1">ROUND(C63,0)</f>
        <v>38650</v>
      </c>
    </row>
    <row r="64" spans="1:5" ht="15" customHeight="1" x14ac:dyDescent="0.3">
      <c r="A64" s="2" t="s">
        <v>154</v>
      </c>
      <c r="B64" s="2" t="s">
        <v>69</v>
      </c>
      <c r="C64" s="9">
        <v>26366</v>
      </c>
      <c r="D64" s="58" t="str">
        <f ca="1">IF(OFFSET(TB!$B$4,ROW($A64)-ROW($A$4),0,1,1)=$A64,"ok","error!")</f>
        <v>ok</v>
      </c>
      <c r="E64" s="9">
        <f t="shared" si="0"/>
        <v>26366</v>
      </c>
    </row>
    <row r="65" spans="1:5" ht="15" customHeight="1" x14ac:dyDescent="0.3">
      <c r="A65" s="2" t="s">
        <v>65</v>
      </c>
      <c r="B65" s="2" t="s">
        <v>174</v>
      </c>
      <c r="C65" s="9">
        <v>278868</v>
      </c>
      <c r="D65" s="58" t="str">
        <f ca="1">IF(OFFSET(TB!$B$4,ROW($A65)-ROW($A$4),0,1,1)=$A65,"ok","error!")</f>
        <v>ok</v>
      </c>
      <c r="E65" s="9">
        <f t="shared" si="0"/>
        <v>278868</v>
      </c>
    </row>
    <row r="66" spans="1:5" ht="15" customHeight="1" x14ac:dyDescent="0.3">
      <c r="A66" s="2" t="s">
        <v>66</v>
      </c>
      <c r="B66" s="2" t="s">
        <v>70</v>
      </c>
      <c r="C66" s="9">
        <v>150000</v>
      </c>
      <c r="D66" s="58" t="str">
        <f ca="1">IF(OFFSET(TB!$B$4,ROW($A66)-ROW($A$4),0,1,1)=$A66,"ok","error!")</f>
        <v>ok</v>
      </c>
      <c r="E66" s="9">
        <f t="shared" si="0"/>
        <v>150000</v>
      </c>
    </row>
    <row r="67" spans="1:5" ht="15" customHeight="1" x14ac:dyDescent="0.3">
      <c r="A67" s="2" t="s">
        <v>64</v>
      </c>
      <c r="B67" s="2" t="s">
        <v>68</v>
      </c>
      <c r="C67" s="9">
        <v>1000</v>
      </c>
      <c r="D67" s="58" t="str">
        <f ca="1">IF(OFFSET(TB!$B$4,ROW($A67)-ROW($A$4),0,1,1)=$A67,"ok","error!")</f>
        <v>ok</v>
      </c>
      <c r="E67" s="9">
        <f t="shared" si="0"/>
        <v>1000</v>
      </c>
    </row>
  </sheetData>
  <conditionalFormatting sqref="D5:D62 D64:D67">
    <cfRule type="cellIs" dxfId="3" priority="4" stopIfTrue="1" operator="equal">
      <formula>"error!"</formula>
    </cfRule>
  </conditionalFormatting>
  <conditionalFormatting sqref="D3">
    <cfRule type="cellIs" dxfId="2" priority="3" stopIfTrue="1" operator="equal">
      <formula>"error!"</formula>
    </cfRule>
  </conditionalFormatting>
  <conditionalFormatting sqref="C3 E3">
    <cfRule type="expression" dxfId="1" priority="2" stopIfTrue="1">
      <formula>ROUND(C3,2)&lt;&gt;0</formula>
    </cfRule>
  </conditionalFormatting>
  <conditionalFormatting sqref="D63">
    <cfRule type="cellIs" dxfId="0" priority="1" stopIfTrue="1" operator="equal">
      <formula>"error!"</formula>
    </cfRule>
  </conditionalFormatting>
  <pageMargins left="0.55118110236220474" right="0.55118110236220474" top="0.55118110236220474" bottom="0.55118110236220474" header="0.39370078740157483" footer="0.39370078740157483"/>
  <pageSetup paperSize="57" fitToHeight="0" orientation="portrait" r:id="rId1"/>
  <headerFooter>
    <oddFooter>Page &amp;P of &amp;N</oddFooter>
  </headerFooter>
  <ignoredErrors>
    <ignoredError sqref="D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Set-up</vt:lpstr>
      <vt:lpstr>Classes</vt:lpstr>
      <vt:lpstr>TB</vt:lpstr>
      <vt:lpstr>IS</vt:lpstr>
      <vt:lpstr>CFS</vt:lpstr>
      <vt:lpstr>BS</vt:lpstr>
      <vt:lpstr>TBCheck</vt:lpstr>
      <vt:lpstr>MonthNames</vt:lpstr>
      <vt:lpstr>BS!Print_Area</vt:lpstr>
      <vt:lpstr>CFS!Print_Area</vt:lpstr>
      <vt:lpstr>IS!Print_Area</vt:lpstr>
      <vt:lpstr>BS!Print_Titles</vt:lpstr>
      <vt:lpstr>CFS!Print_Titles</vt:lpstr>
      <vt:lpstr>IS!Print_Titles</vt:lpstr>
      <vt:lpstr>TB!Print_Titles</vt:lpstr>
      <vt:lpstr>TBCheck!Print_Titles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design@excel-skills.com</dc:creator>
  <cp:keywords>BDS Tools; fianancial analysis, financials</cp:keywords>
  <dc:description>BDS Tools to help with managing your business</dc:description>
  <cp:lastModifiedBy>Peter</cp:lastModifiedBy>
  <cp:lastPrinted>2016-07-27T13:10:50Z</cp:lastPrinted>
  <dcterms:created xsi:type="dcterms:W3CDTF">2009-09-28T11:29:56Z</dcterms:created>
  <dcterms:modified xsi:type="dcterms:W3CDTF">2020-04-27T03:58:26Z</dcterms:modified>
  <cp:category>BDS Tools; Excel 2007+</cp:category>
  <cp:contentStatus>Published</cp:contentStatus>
  <cp:version>1</cp:version>
</cp:coreProperties>
</file>