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5138059C-287D-4686-84CE-592F5782D5BF}" xr6:coauthVersionLast="45" xr6:coauthVersionMax="45" xr10:uidLastSave="{00000000-0000-0000-0000-000000000000}"/>
  <bookViews>
    <workbookView xWindow="40920" yWindow="-120" windowWidth="29040" windowHeight="15840" activeTab="5" xr2:uid="{00000000-000D-0000-FFFF-FFFF00000000}"/>
  </bookViews>
  <sheets>
    <sheet name="Assumptions" sheetId="2" r:id="rId1"/>
    <sheet name="Forecast" sheetId="1" r:id="rId2"/>
    <sheet name="Actual" sheetId="9" r:id="rId3"/>
    <sheet name="BalanceSheets" sheetId="6" r:id="rId4"/>
    <sheet name="Loans" sheetId="7" r:id="rId5"/>
    <sheet name="Report" sheetId="8" r:id="rId6"/>
    <sheet name="Months" sheetId="10" state="hidden" r:id="rId7"/>
  </sheets>
  <definedNames>
    <definedName name="_xlnm._FilterDatabase" localSheetId="5" hidden="1">Report!$A$4:$E$72</definedName>
    <definedName name="FilterCells">1000</definedName>
    <definedName name="LoanMonths">Forecast!$C$4:$AO$4</definedName>
    <definedName name="MonthList">Forecast!$C$4:$N$4,Forecast!$P$4:$AA$4,Forecast!$AC$4:$AN$4</definedName>
    <definedName name="Months">Months!$A$3:$A$38</definedName>
    <definedName name="_xlnm.Print_Area" localSheetId="2">Actual!$B$1:$AO$82</definedName>
    <definedName name="_xlnm.Print_Area" localSheetId="3">BalanceSheets!$B$1:$AM$41</definedName>
    <definedName name="_xlnm.Print_Area" localSheetId="1">Forecast!$B$1:$AO$82</definedName>
    <definedName name="_xlnm.Print_Area" localSheetId="5">Report!$A$1:$J$99</definedName>
    <definedName name="_xlnm.Print_Titles" localSheetId="2">Actual!$B:$B</definedName>
    <definedName name="_xlnm.Print_Titles" localSheetId="3">BalanceSheets!$B:$B</definedName>
    <definedName name="_xlnm.Print_Titles" localSheetId="1">Forecast!$B:$B</definedName>
    <definedName name="_xlnm.Print_Titles" localSheetId="4">Loans!$1:$8</definedName>
    <definedName name="_xlnm.Print_Titles" localSheetId="5">Report!$1:$2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8" l="1"/>
  <c r="A1" i="7"/>
  <c r="B23" i="6"/>
  <c r="B1" i="6"/>
  <c r="AN61" i="9"/>
  <c r="AM61" i="9"/>
  <c r="AL61" i="9"/>
  <c r="AK61" i="9"/>
  <c r="AJ61" i="9"/>
  <c r="AI61" i="9"/>
  <c r="AH61" i="9"/>
  <c r="AG61" i="9"/>
  <c r="AF61" i="9"/>
  <c r="AE61" i="9"/>
  <c r="AD61" i="9"/>
  <c r="AC61" i="9"/>
  <c r="AA61" i="9"/>
  <c r="Z61" i="9"/>
  <c r="Y61" i="9"/>
  <c r="X61" i="9"/>
  <c r="W61" i="9"/>
  <c r="V61" i="9"/>
  <c r="U61" i="9"/>
  <c r="T61" i="9"/>
  <c r="S61" i="9"/>
  <c r="R61" i="9"/>
  <c r="Q61" i="9"/>
  <c r="P61" i="9"/>
  <c r="AB61" i="9" s="1"/>
  <c r="N61" i="9"/>
  <c r="M61" i="9"/>
  <c r="L61" i="9"/>
  <c r="K61" i="9"/>
  <c r="J61" i="9"/>
  <c r="I61" i="9"/>
  <c r="H61" i="9"/>
  <c r="G61" i="9"/>
  <c r="F61" i="9"/>
  <c r="E61" i="9"/>
  <c r="D61" i="9"/>
  <c r="AN69" i="9"/>
  <c r="AM69" i="9"/>
  <c r="AL69" i="9"/>
  <c r="AK69" i="9"/>
  <c r="AJ69" i="9"/>
  <c r="AI69" i="9"/>
  <c r="AH69" i="9"/>
  <c r="AG69" i="9"/>
  <c r="AF69" i="9"/>
  <c r="AE69" i="9"/>
  <c r="AD69" i="9"/>
  <c r="AC69" i="9"/>
  <c r="AA69" i="9"/>
  <c r="Z69" i="9"/>
  <c r="Y69" i="9"/>
  <c r="X69" i="9"/>
  <c r="W69" i="9"/>
  <c r="V69" i="9"/>
  <c r="U69" i="9"/>
  <c r="T69" i="9"/>
  <c r="S69" i="9"/>
  <c r="R69" i="9"/>
  <c r="Q69" i="9"/>
  <c r="P69" i="9"/>
  <c r="N69" i="9"/>
  <c r="M69" i="9"/>
  <c r="L69" i="9"/>
  <c r="K69" i="9"/>
  <c r="J69" i="9"/>
  <c r="I69" i="9"/>
  <c r="H69" i="9"/>
  <c r="G69" i="9"/>
  <c r="F69" i="9"/>
  <c r="E69" i="9"/>
  <c r="D69" i="9"/>
  <c r="C69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O57" i="9"/>
  <c r="AA57" i="9"/>
  <c r="Z57" i="9"/>
  <c r="Y57" i="9"/>
  <c r="X57" i="9"/>
  <c r="W57" i="9"/>
  <c r="V57" i="9"/>
  <c r="U57" i="9"/>
  <c r="T57" i="9"/>
  <c r="S57" i="9"/>
  <c r="R57" i="9"/>
  <c r="Q57" i="9"/>
  <c r="P57" i="9"/>
  <c r="N57" i="9"/>
  <c r="M57" i="9"/>
  <c r="L57" i="9"/>
  <c r="K57" i="9"/>
  <c r="J57" i="9"/>
  <c r="I57" i="9"/>
  <c r="H57" i="9"/>
  <c r="G57" i="9"/>
  <c r="F57" i="9"/>
  <c r="E57" i="9"/>
  <c r="D57" i="9"/>
  <c r="AN55" i="9"/>
  <c r="AN64" i="9" s="1"/>
  <c r="AM55" i="9"/>
  <c r="AM64" i="9"/>
  <c r="AL55" i="9"/>
  <c r="AL64" i="9" s="1"/>
  <c r="AK55" i="9"/>
  <c r="AK64" i="9" s="1"/>
  <c r="AJ55" i="9"/>
  <c r="AJ64" i="9" s="1"/>
  <c r="AI55" i="9"/>
  <c r="AI64" i="9" s="1"/>
  <c r="AH55" i="9"/>
  <c r="AH64" i="9" s="1"/>
  <c r="AG55" i="9"/>
  <c r="AG64" i="9"/>
  <c r="AF55" i="9"/>
  <c r="AF64" i="9" s="1"/>
  <c r="AE55" i="9"/>
  <c r="AE64" i="9" s="1"/>
  <c r="AD55" i="9"/>
  <c r="AD64" i="9" s="1"/>
  <c r="AC55" i="9"/>
  <c r="AC64" i="9"/>
  <c r="AA55" i="9"/>
  <c r="AA64" i="9" s="1"/>
  <c r="Z55" i="9"/>
  <c r="Z64" i="9" s="1"/>
  <c r="Y55" i="9"/>
  <c r="Y64" i="9" s="1"/>
  <c r="X55" i="9"/>
  <c r="X64" i="9" s="1"/>
  <c r="W55" i="9"/>
  <c r="W64" i="9" s="1"/>
  <c r="V55" i="9"/>
  <c r="V64" i="9" s="1"/>
  <c r="U55" i="9"/>
  <c r="U64" i="9" s="1"/>
  <c r="T55" i="9"/>
  <c r="T64" i="9" s="1"/>
  <c r="S55" i="9"/>
  <c r="S64" i="9" s="1"/>
  <c r="R55" i="9"/>
  <c r="R64" i="9" s="1"/>
  <c r="Q55" i="9"/>
  <c r="Q64" i="9" s="1"/>
  <c r="P55" i="9"/>
  <c r="P64" i="9" s="1"/>
  <c r="N55" i="9"/>
  <c r="N64" i="9" s="1"/>
  <c r="M55" i="9"/>
  <c r="M64" i="9" s="1"/>
  <c r="L55" i="9"/>
  <c r="L64" i="9" s="1"/>
  <c r="K55" i="9"/>
  <c r="K64" i="9"/>
  <c r="J55" i="9"/>
  <c r="J64" i="9" s="1"/>
  <c r="I55" i="9"/>
  <c r="I64" i="9" s="1"/>
  <c r="H55" i="9"/>
  <c r="H64" i="9" s="1"/>
  <c r="G55" i="9"/>
  <c r="G64" i="9"/>
  <c r="F55" i="9"/>
  <c r="F64" i="9" s="1"/>
  <c r="E55" i="9"/>
  <c r="E64" i="9" s="1"/>
  <c r="D55" i="9"/>
  <c r="D64" i="9" s="1"/>
  <c r="AN54" i="9"/>
  <c r="AN63" i="9"/>
  <c r="AM54" i="9"/>
  <c r="AM63" i="9" s="1"/>
  <c r="AL54" i="9"/>
  <c r="AL63" i="9" s="1"/>
  <c r="AK54" i="9"/>
  <c r="AK63" i="9" s="1"/>
  <c r="AJ54" i="9"/>
  <c r="AJ63" i="9"/>
  <c r="AI54" i="9"/>
  <c r="AI63" i="9" s="1"/>
  <c r="AH54" i="9"/>
  <c r="AH63" i="9" s="1"/>
  <c r="AG54" i="9"/>
  <c r="AG63" i="9" s="1"/>
  <c r="AF54" i="9"/>
  <c r="AF63" i="9"/>
  <c r="AE54" i="9"/>
  <c r="AE63" i="9" s="1"/>
  <c r="AD54" i="9"/>
  <c r="AD63" i="9" s="1"/>
  <c r="AC54" i="9"/>
  <c r="AC63" i="9" s="1"/>
  <c r="AA54" i="9"/>
  <c r="AA63" i="9" s="1"/>
  <c r="Z54" i="9"/>
  <c r="Z63" i="9" s="1"/>
  <c r="Y54" i="9"/>
  <c r="Y63" i="9" s="1"/>
  <c r="X54" i="9"/>
  <c r="X63" i="9" s="1"/>
  <c r="W54" i="9"/>
  <c r="W63" i="9" s="1"/>
  <c r="V54" i="9"/>
  <c r="V63" i="9" s="1"/>
  <c r="U54" i="9"/>
  <c r="U63" i="9" s="1"/>
  <c r="T54" i="9"/>
  <c r="T63" i="9" s="1"/>
  <c r="S54" i="9"/>
  <c r="S63" i="9" s="1"/>
  <c r="R54" i="9"/>
  <c r="R63" i="9" s="1"/>
  <c r="Q54" i="9"/>
  <c r="Q63" i="9" s="1"/>
  <c r="P54" i="9"/>
  <c r="P63" i="9" s="1"/>
  <c r="N54" i="9"/>
  <c r="N63" i="9"/>
  <c r="M54" i="9"/>
  <c r="M63" i="9" s="1"/>
  <c r="L54" i="9"/>
  <c r="L63" i="9" s="1"/>
  <c r="K54" i="9"/>
  <c r="K63" i="9" s="1"/>
  <c r="J54" i="9"/>
  <c r="J63" i="9" s="1"/>
  <c r="I54" i="9"/>
  <c r="I63" i="9" s="1"/>
  <c r="H54" i="9"/>
  <c r="H63" i="9" s="1"/>
  <c r="G54" i="9"/>
  <c r="G63" i="9" s="1"/>
  <c r="F54" i="9"/>
  <c r="F63" i="9"/>
  <c r="E54" i="9"/>
  <c r="E63" i="9" s="1"/>
  <c r="D54" i="9"/>
  <c r="D63" i="9"/>
  <c r="C57" i="9"/>
  <c r="C55" i="9"/>
  <c r="C54" i="9"/>
  <c r="C63" i="9" s="1"/>
  <c r="C51" i="9"/>
  <c r="D51" i="9" s="1"/>
  <c r="E51" i="9" s="1"/>
  <c r="F51" i="9" s="1"/>
  <c r="G51" i="9" s="1"/>
  <c r="H51" i="9" s="1"/>
  <c r="I51" i="9" s="1"/>
  <c r="J51" i="9" s="1"/>
  <c r="K51" i="9" s="1"/>
  <c r="L51" i="9" s="1"/>
  <c r="M51" i="9" s="1"/>
  <c r="N51" i="9" s="1"/>
  <c r="P51" i="9" s="1"/>
  <c r="Q51" i="9" s="1"/>
  <c r="R51" i="9" s="1"/>
  <c r="S51" i="9" s="1"/>
  <c r="T51" i="9" s="1"/>
  <c r="U51" i="9" s="1"/>
  <c r="V51" i="9" s="1"/>
  <c r="W51" i="9" s="1"/>
  <c r="X51" i="9" s="1"/>
  <c r="Y51" i="9" s="1"/>
  <c r="Z51" i="9" s="1"/>
  <c r="AA51" i="9" s="1"/>
  <c r="AB51" i="9" s="1"/>
  <c r="B48" i="9"/>
  <c r="AO38" i="9"/>
  <c r="AB38" i="9"/>
  <c r="O38" i="9"/>
  <c r="B1" i="9"/>
  <c r="AN69" i="1"/>
  <c r="AM69" i="1"/>
  <c r="AL69" i="1"/>
  <c r="AK69" i="1"/>
  <c r="AJ69" i="1"/>
  <c r="AI69" i="1"/>
  <c r="AH69" i="1"/>
  <c r="AG69" i="1"/>
  <c r="AF69" i="1"/>
  <c r="AE69" i="1"/>
  <c r="AD69" i="1"/>
  <c r="AC69" i="1"/>
  <c r="AA69" i="1"/>
  <c r="Z69" i="1"/>
  <c r="Y69" i="1"/>
  <c r="X69" i="1"/>
  <c r="W69" i="1"/>
  <c r="V69" i="1"/>
  <c r="U69" i="1"/>
  <c r="T69" i="1"/>
  <c r="S69" i="1"/>
  <c r="R69" i="1"/>
  <c r="Q69" i="1"/>
  <c r="P69" i="1"/>
  <c r="N69" i="1"/>
  <c r="M69" i="1"/>
  <c r="L69" i="1"/>
  <c r="K69" i="1"/>
  <c r="J69" i="1"/>
  <c r="I69" i="1"/>
  <c r="H69" i="1"/>
  <c r="G69" i="1"/>
  <c r="F69" i="1"/>
  <c r="E69" i="1"/>
  <c r="D69" i="1"/>
  <c r="C69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O57" i="1" s="1"/>
  <c r="AA57" i="1"/>
  <c r="Z57" i="1"/>
  <c r="Y57" i="1"/>
  <c r="X57" i="1"/>
  <c r="W57" i="1"/>
  <c r="V57" i="1"/>
  <c r="U57" i="1"/>
  <c r="T57" i="1"/>
  <c r="S57" i="1"/>
  <c r="R57" i="1"/>
  <c r="Q57" i="1"/>
  <c r="P57" i="1"/>
  <c r="N57" i="1"/>
  <c r="M57" i="1"/>
  <c r="L57" i="1"/>
  <c r="K57" i="1"/>
  <c r="J57" i="1"/>
  <c r="I57" i="1"/>
  <c r="H57" i="1"/>
  <c r="G57" i="1"/>
  <c r="F57" i="1"/>
  <c r="E57" i="1"/>
  <c r="D57" i="1"/>
  <c r="C57" i="1"/>
  <c r="C51" i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B48" i="1"/>
  <c r="A22" i="8"/>
  <c r="B22" i="8" s="1"/>
  <c r="A3" i="10"/>
  <c r="A9" i="7"/>
  <c r="D26" i="6"/>
  <c r="E26" i="6" s="1"/>
  <c r="F26" i="6" s="1"/>
  <c r="G26" i="6" s="1"/>
  <c r="H26" i="6" s="1"/>
  <c r="I26" i="6" s="1"/>
  <c r="J26" i="6" s="1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Y26" i="6" s="1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AJ26" i="6" s="1"/>
  <c r="AK26" i="6" s="1"/>
  <c r="AL26" i="6" s="1"/>
  <c r="AM26" i="6" s="1"/>
  <c r="C26" i="6"/>
  <c r="C4" i="6"/>
  <c r="C21" i="6" s="1"/>
  <c r="D4" i="6"/>
  <c r="E4" i="6" s="1"/>
  <c r="E21" i="6" s="1"/>
  <c r="E9" i="6" s="1"/>
  <c r="C4" i="9"/>
  <c r="D4" i="9" s="1"/>
  <c r="E4" i="9" s="1"/>
  <c r="F4" i="9" s="1"/>
  <c r="G4" i="9" s="1"/>
  <c r="H4" i="9" s="1"/>
  <c r="I4" i="9" s="1"/>
  <c r="J4" i="9" s="1"/>
  <c r="K4" i="9" s="1"/>
  <c r="L4" i="9" s="1"/>
  <c r="M4" i="9" s="1"/>
  <c r="N4" i="9" s="1"/>
  <c r="C4" i="1"/>
  <c r="AO38" i="1"/>
  <c r="AB38" i="1"/>
  <c r="O38" i="1"/>
  <c r="B1" i="1"/>
  <c r="C23" i="2"/>
  <c r="C17" i="2"/>
  <c r="A1" i="2"/>
  <c r="C40" i="6"/>
  <c r="C64" i="9" s="1"/>
  <c r="C18" i="6"/>
  <c r="A13" i="8"/>
  <c r="B13" i="8" s="1"/>
  <c r="A14" i="8"/>
  <c r="B14" i="8" s="1"/>
  <c r="A15" i="8"/>
  <c r="B15" i="8" s="1"/>
  <c r="A16" i="8"/>
  <c r="B16" i="8" s="1"/>
  <c r="A17" i="8"/>
  <c r="B17" i="8" s="1"/>
  <c r="A18" i="8"/>
  <c r="B18" i="8" s="1"/>
  <c r="A19" i="8"/>
  <c r="B19" i="8" s="1"/>
  <c r="A20" i="8"/>
  <c r="B20" i="8" s="1"/>
  <c r="A21" i="8"/>
  <c r="B21" i="8" s="1"/>
  <c r="A23" i="8"/>
  <c r="B23" i="8" s="1"/>
  <c r="A24" i="8"/>
  <c r="B24" i="8" s="1"/>
  <c r="A25" i="8"/>
  <c r="B25" i="8" s="1"/>
  <c r="A26" i="8"/>
  <c r="B26" i="8" s="1"/>
  <c r="A27" i="8"/>
  <c r="B27" i="8" s="1"/>
  <c r="A28" i="8"/>
  <c r="B28" i="8" s="1"/>
  <c r="A29" i="8"/>
  <c r="B29" i="8" s="1"/>
  <c r="A30" i="8"/>
  <c r="B30" i="8" s="1"/>
  <c r="A31" i="8"/>
  <c r="B31" i="8" s="1"/>
  <c r="A32" i="8"/>
  <c r="B32" i="8" s="1"/>
  <c r="A33" i="8"/>
  <c r="B33" i="8" s="1"/>
  <c r="A34" i="8"/>
  <c r="B34" i="8" s="1"/>
  <c r="A35" i="8"/>
  <c r="B35" i="8" s="1"/>
  <c r="B36" i="8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10" i="7"/>
  <c r="A11" i="7" s="1"/>
  <c r="A12" i="7" s="1"/>
  <c r="AN36" i="9"/>
  <c r="AN9" i="9"/>
  <c r="AN7" i="9" s="1"/>
  <c r="AN59" i="9"/>
  <c r="AN60" i="9"/>
  <c r="AN72" i="9"/>
  <c r="AN74" i="9"/>
  <c r="AM36" i="9"/>
  <c r="AM9" i="9"/>
  <c r="AM74" i="9"/>
  <c r="AM72" i="9"/>
  <c r="AM59" i="9"/>
  <c r="AM60" i="9"/>
  <c r="AL36" i="9"/>
  <c r="AL9" i="9"/>
  <c r="AL7" i="9" s="1"/>
  <c r="AL59" i="9"/>
  <c r="AL60" i="9"/>
  <c r="AL72" i="9"/>
  <c r="AL74" i="9"/>
  <c r="AK36" i="9"/>
  <c r="AK9" i="9"/>
  <c r="AK59" i="9"/>
  <c r="AK60" i="9"/>
  <c r="AK72" i="9"/>
  <c r="AK75" i="9" s="1"/>
  <c r="AK74" i="9"/>
  <c r="AJ36" i="9"/>
  <c r="AJ9" i="9"/>
  <c r="AJ7" i="9" s="1"/>
  <c r="AJ59" i="9"/>
  <c r="AJ60" i="9"/>
  <c r="AJ72" i="9"/>
  <c r="AJ74" i="9"/>
  <c r="AI36" i="9"/>
  <c r="AI9" i="9"/>
  <c r="AI59" i="9"/>
  <c r="AI60" i="9"/>
  <c r="AI72" i="9"/>
  <c r="AI75" i="9" s="1"/>
  <c r="AI74" i="9"/>
  <c r="AH36" i="9"/>
  <c r="AH9" i="9"/>
  <c r="AH7" i="9" s="1"/>
  <c r="AH59" i="9"/>
  <c r="AH60" i="9"/>
  <c r="AH72" i="9"/>
  <c r="AH74" i="9"/>
  <c r="AG36" i="9"/>
  <c r="AG9" i="9"/>
  <c r="AG74" i="9"/>
  <c r="AG72" i="9"/>
  <c r="AG59" i="9"/>
  <c r="AG60" i="9"/>
  <c r="AF36" i="9"/>
  <c r="AF9" i="9"/>
  <c r="AF7" i="9" s="1"/>
  <c r="AF59" i="9"/>
  <c r="AF60" i="9"/>
  <c r="AF72" i="9"/>
  <c r="AF74" i="9"/>
  <c r="AE36" i="9"/>
  <c r="AE9" i="9"/>
  <c r="AE59" i="9"/>
  <c r="AE60" i="9"/>
  <c r="AE72" i="9"/>
  <c r="AE75" i="9" s="1"/>
  <c r="AE74" i="9"/>
  <c r="AD36" i="9"/>
  <c r="AD9" i="9"/>
  <c r="AO9" i="9" s="1"/>
  <c r="AD59" i="9"/>
  <c r="AD60" i="9"/>
  <c r="AD72" i="9"/>
  <c r="AD74" i="9"/>
  <c r="AC36" i="9"/>
  <c r="AC9" i="9"/>
  <c r="AC59" i="9"/>
  <c r="AC60" i="9"/>
  <c r="AC72" i="9"/>
  <c r="AC75" i="9" s="1"/>
  <c r="AC74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P9" i="9"/>
  <c r="Q9" i="9"/>
  <c r="Q7" i="9" s="1"/>
  <c r="R9" i="9"/>
  <c r="S9" i="9"/>
  <c r="T9" i="9"/>
  <c r="U9" i="9"/>
  <c r="U7" i="9" s="1"/>
  <c r="V9" i="9"/>
  <c r="W9" i="9"/>
  <c r="W7" i="9" s="1"/>
  <c r="X9" i="9"/>
  <c r="Y9" i="9"/>
  <c r="Y7" i="9" s="1"/>
  <c r="Z9" i="9"/>
  <c r="AA9" i="9"/>
  <c r="AA7" i="9" s="1"/>
  <c r="AB43" i="9"/>
  <c r="AB42" i="9"/>
  <c r="AB73" i="9"/>
  <c r="S74" i="9"/>
  <c r="P74" i="9"/>
  <c r="Q74" i="9"/>
  <c r="R74" i="9"/>
  <c r="T74" i="9"/>
  <c r="U74" i="9"/>
  <c r="V74" i="9"/>
  <c r="W74" i="9"/>
  <c r="X74" i="9"/>
  <c r="Y74" i="9"/>
  <c r="Z74" i="9"/>
  <c r="AA74" i="9"/>
  <c r="AB68" i="9"/>
  <c r="AB69" i="9" s="1"/>
  <c r="P72" i="9"/>
  <c r="P75" i="9"/>
  <c r="Q72" i="9"/>
  <c r="R72" i="9"/>
  <c r="R75" i="9" s="1"/>
  <c r="S72" i="9"/>
  <c r="T72" i="9"/>
  <c r="U72" i="9"/>
  <c r="U75" i="9" s="1"/>
  <c r="V72" i="9"/>
  <c r="W72" i="9"/>
  <c r="X72" i="9"/>
  <c r="X75" i="9"/>
  <c r="Y72" i="9"/>
  <c r="Z72" i="9"/>
  <c r="AA72" i="9"/>
  <c r="AA75" i="9" s="1"/>
  <c r="P59" i="9"/>
  <c r="Q59" i="9"/>
  <c r="R59" i="9"/>
  <c r="S59" i="9"/>
  <c r="T59" i="9"/>
  <c r="U59" i="9"/>
  <c r="V59" i="9"/>
  <c r="W59" i="9"/>
  <c r="X59" i="9"/>
  <c r="Y59" i="9"/>
  <c r="Z59" i="9"/>
  <c r="AA59" i="9"/>
  <c r="P60" i="9"/>
  <c r="Q60" i="9"/>
  <c r="R60" i="9"/>
  <c r="S60" i="9"/>
  <c r="T60" i="9"/>
  <c r="U60" i="9"/>
  <c r="V60" i="9"/>
  <c r="W60" i="9"/>
  <c r="X60" i="9"/>
  <c r="Y60" i="9"/>
  <c r="Z60" i="9"/>
  <c r="AA60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C9" i="9"/>
  <c r="C7" i="9" s="1"/>
  <c r="D9" i="9"/>
  <c r="D7" i="9" s="1"/>
  <c r="E9" i="9"/>
  <c r="F9" i="9"/>
  <c r="G9" i="9"/>
  <c r="G7" i="9" s="1"/>
  <c r="H9" i="9"/>
  <c r="H7" i="9" s="1"/>
  <c r="I9" i="9"/>
  <c r="J9" i="9"/>
  <c r="K9" i="9"/>
  <c r="K7" i="9" s="1"/>
  <c r="L9" i="9"/>
  <c r="M9" i="9"/>
  <c r="N9" i="9"/>
  <c r="O43" i="9"/>
  <c r="O42" i="9"/>
  <c r="F74" i="9"/>
  <c r="G74" i="9"/>
  <c r="D74" i="9"/>
  <c r="D75" i="9" s="1"/>
  <c r="E74" i="9"/>
  <c r="H74" i="9"/>
  <c r="I74" i="9"/>
  <c r="J74" i="9"/>
  <c r="K74" i="9"/>
  <c r="L74" i="9"/>
  <c r="M74" i="9"/>
  <c r="N74" i="9"/>
  <c r="O68" i="9"/>
  <c r="O69" i="9" s="1"/>
  <c r="D72" i="9"/>
  <c r="E72" i="9"/>
  <c r="F72" i="9"/>
  <c r="F75" i="9" s="1"/>
  <c r="G72" i="9"/>
  <c r="H72" i="9"/>
  <c r="H75" i="9"/>
  <c r="I72" i="9"/>
  <c r="J72" i="9"/>
  <c r="K72" i="9"/>
  <c r="L72" i="9"/>
  <c r="L75" i="9" s="1"/>
  <c r="M72" i="9"/>
  <c r="N72" i="9"/>
  <c r="N75" i="9" s="1"/>
  <c r="O73" i="9"/>
  <c r="D59" i="9"/>
  <c r="E59" i="9"/>
  <c r="F59" i="9"/>
  <c r="G59" i="9"/>
  <c r="H59" i="9"/>
  <c r="I59" i="9"/>
  <c r="J59" i="9"/>
  <c r="K59" i="9"/>
  <c r="L59" i="9"/>
  <c r="M59" i="9"/>
  <c r="N59" i="9"/>
  <c r="D60" i="9"/>
  <c r="E60" i="9"/>
  <c r="F60" i="9"/>
  <c r="G60" i="9"/>
  <c r="H60" i="9"/>
  <c r="I60" i="9"/>
  <c r="J60" i="9"/>
  <c r="K60" i="9"/>
  <c r="L60" i="9"/>
  <c r="M60" i="9"/>
  <c r="N60" i="9"/>
  <c r="C28" i="6"/>
  <c r="D28" i="6" s="1"/>
  <c r="E28" i="6" s="1"/>
  <c r="F28" i="6" s="1"/>
  <c r="G28" i="6" s="1"/>
  <c r="H28" i="6" s="1"/>
  <c r="I28" i="6" s="1"/>
  <c r="J28" i="6" s="1"/>
  <c r="K28" i="6" s="1"/>
  <c r="C36" i="9"/>
  <c r="D36" i="9"/>
  <c r="E36" i="9"/>
  <c r="E40" i="9" s="1"/>
  <c r="E45" i="9" s="1"/>
  <c r="E53" i="9" s="1"/>
  <c r="F36" i="9"/>
  <c r="G36" i="9"/>
  <c r="H36" i="9"/>
  <c r="I36" i="9"/>
  <c r="I40" i="9" s="1"/>
  <c r="I45" i="9" s="1"/>
  <c r="I53" i="9" s="1"/>
  <c r="J36" i="9"/>
  <c r="K36" i="9"/>
  <c r="L36" i="9"/>
  <c r="M36" i="9"/>
  <c r="M40" i="9" s="1"/>
  <c r="M45" i="9" s="1"/>
  <c r="M53" i="9" s="1"/>
  <c r="N36" i="9"/>
  <c r="P36" i="9"/>
  <c r="Q36" i="9"/>
  <c r="R36" i="9"/>
  <c r="R40" i="9" s="1"/>
  <c r="R45" i="9" s="1"/>
  <c r="R53" i="9" s="1"/>
  <c r="S36" i="9"/>
  <c r="S40" i="9" s="1"/>
  <c r="S45" i="9" s="1"/>
  <c r="S53" i="9" s="1"/>
  <c r="T36" i="9"/>
  <c r="U36" i="9"/>
  <c r="V36" i="9"/>
  <c r="V40" i="9" s="1"/>
  <c r="V45" i="9" s="1"/>
  <c r="V53" i="9" s="1"/>
  <c r="W36" i="9"/>
  <c r="W40" i="9" s="1"/>
  <c r="W45" i="9" s="1"/>
  <c r="W53" i="9" s="1"/>
  <c r="X36" i="9"/>
  <c r="Y36" i="9"/>
  <c r="Z36" i="9"/>
  <c r="Z40" i="9" s="1"/>
  <c r="Z45" i="9" s="1"/>
  <c r="Z53" i="9" s="1"/>
  <c r="AA36" i="9"/>
  <c r="AA40" i="9" s="1"/>
  <c r="AA45" i="9" s="1"/>
  <c r="AA53" i="9" s="1"/>
  <c r="B6" i="7"/>
  <c r="F9" i="7"/>
  <c r="C9" i="7"/>
  <c r="B5" i="7"/>
  <c r="B4" i="7"/>
  <c r="C35" i="6"/>
  <c r="C72" i="9" s="1"/>
  <c r="O72" i="9" s="1"/>
  <c r="AO73" i="9"/>
  <c r="C13" i="6"/>
  <c r="D13" i="6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AJ13" i="6" s="1"/>
  <c r="AK13" i="6" s="1"/>
  <c r="AL13" i="6" s="1"/>
  <c r="AM13" i="6" s="1"/>
  <c r="C14" i="6"/>
  <c r="C36" i="1"/>
  <c r="C9" i="1"/>
  <c r="D36" i="1"/>
  <c r="D9" i="1"/>
  <c r="O9" i="1" s="1"/>
  <c r="E36" i="1"/>
  <c r="E9" i="1"/>
  <c r="F36" i="1"/>
  <c r="F9" i="1"/>
  <c r="G36" i="1"/>
  <c r="G9" i="1"/>
  <c r="G7" i="1" s="1"/>
  <c r="H36" i="1"/>
  <c r="H9" i="1"/>
  <c r="I36" i="1"/>
  <c r="I9" i="1"/>
  <c r="I7" i="1" s="1"/>
  <c r="J36" i="1"/>
  <c r="J9" i="1"/>
  <c r="K36" i="1"/>
  <c r="K9" i="1"/>
  <c r="K7" i="1" s="1"/>
  <c r="L36" i="1"/>
  <c r="L9" i="1"/>
  <c r="M36" i="1"/>
  <c r="M9" i="1"/>
  <c r="N36" i="1"/>
  <c r="N9" i="1"/>
  <c r="P36" i="1"/>
  <c r="P9" i="1"/>
  <c r="P7" i="1" s="1"/>
  <c r="Q36" i="1"/>
  <c r="Q9" i="1"/>
  <c r="AB9" i="1" s="1"/>
  <c r="AB10" i="1" s="1"/>
  <c r="R36" i="1"/>
  <c r="R9" i="1"/>
  <c r="R7" i="1" s="1"/>
  <c r="S36" i="1"/>
  <c r="S9" i="1"/>
  <c r="T36" i="1"/>
  <c r="T9" i="1"/>
  <c r="U36" i="1"/>
  <c r="U9" i="1"/>
  <c r="V36" i="1"/>
  <c r="V9" i="1"/>
  <c r="W36" i="1"/>
  <c r="W9" i="1"/>
  <c r="X36" i="1"/>
  <c r="X9" i="1"/>
  <c r="X7" i="1" s="1"/>
  <c r="Y36" i="1"/>
  <c r="Y9" i="1"/>
  <c r="Z36" i="1"/>
  <c r="Z9" i="1"/>
  <c r="Z7" i="1" s="1"/>
  <c r="AA36" i="1"/>
  <c r="AA9" i="1"/>
  <c r="AC36" i="1"/>
  <c r="AC9" i="1"/>
  <c r="AC7" i="1" s="1"/>
  <c r="AD36" i="1"/>
  <c r="AD9" i="1"/>
  <c r="AO9" i="1" s="1"/>
  <c r="AE36" i="1"/>
  <c r="AE9" i="1"/>
  <c r="AF36" i="1"/>
  <c r="AF9" i="1"/>
  <c r="AG36" i="1"/>
  <c r="AG9" i="1"/>
  <c r="AG7" i="1" s="1"/>
  <c r="AH36" i="1"/>
  <c r="AH9" i="1"/>
  <c r="AI36" i="1"/>
  <c r="AI9" i="1"/>
  <c r="AI7" i="1" s="1"/>
  <c r="AJ36" i="1"/>
  <c r="AJ9" i="1"/>
  <c r="AK36" i="1"/>
  <c r="AK9" i="1"/>
  <c r="AK7" i="1" s="1"/>
  <c r="AL36" i="1"/>
  <c r="AL9" i="1"/>
  <c r="AM36" i="1"/>
  <c r="AM9" i="1"/>
  <c r="AN36" i="1"/>
  <c r="AN9" i="1"/>
  <c r="AN7" i="1" s="1"/>
  <c r="C15" i="6"/>
  <c r="AM7" i="1"/>
  <c r="AE7" i="1"/>
  <c r="V7" i="1"/>
  <c r="T7" i="1"/>
  <c r="M7" i="1"/>
  <c r="E7" i="1"/>
  <c r="C7" i="1"/>
  <c r="C17" i="6"/>
  <c r="C6" i="6"/>
  <c r="D6" i="6" s="1"/>
  <c r="E6" i="6" s="1"/>
  <c r="F6" i="6" s="1"/>
  <c r="G6" i="6" s="1"/>
  <c r="H6" i="6"/>
  <c r="I6" i="6" s="1"/>
  <c r="J6" i="6" s="1"/>
  <c r="K6" i="6" s="1"/>
  <c r="L6" i="6" s="1"/>
  <c r="M6" i="6" s="1"/>
  <c r="N6" i="6" s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68" i="1"/>
  <c r="AB69" i="1" s="1"/>
  <c r="AB72" i="1"/>
  <c r="AB73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C8" i="6"/>
  <c r="C9" i="6"/>
  <c r="O68" i="1"/>
  <c r="O69" i="1" s="1"/>
  <c r="O72" i="1"/>
  <c r="O73" i="1"/>
  <c r="C10" i="6"/>
  <c r="C11" i="6"/>
  <c r="AO73" i="1"/>
  <c r="AO72" i="1"/>
  <c r="AO25" i="1"/>
  <c r="AO26" i="1"/>
  <c r="AO27" i="1"/>
  <c r="E7" i="9"/>
  <c r="F7" i="9"/>
  <c r="I7" i="9"/>
  <c r="J7" i="9"/>
  <c r="L7" i="9"/>
  <c r="M7" i="9"/>
  <c r="N7" i="9"/>
  <c r="AC7" i="9"/>
  <c r="AE7" i="9"/>
  <c r="AG7" i="9"/>
  <c r="AI7" i="9"/>
  <c r="AK7" i="9"/>
  <c r="AM7" i="9"/>
  <c r="C37" i="6"/>
  <c r="C74" i="9" s="1"/>
  <c r="C39" i="6"/>
  <c r="C61" i="9" s="1"/>
  <c r="C30" i="6"/>
  <c r="C31" i="6"/>
  <c r="C36" i="6"/>
  <c r="C32" i="6"/>
  <c r="O5" i="9"/>
  <c r="AB5" i="9"/>
  <c r="AO5" i="9"/>
  <c r="P7" i="9"/>
  <c r="R7" i="9"/>
  <c r="S7" i="9"/>
  <c r="T7" i="9"/>
  <c r="V7" i="9"/>
  <c r="X7" i="9"/>
  <c r="Z7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42" i="9"/>
  <c r="AO43" i="9"/>
  <c r="AO60" i="9"/>
  <c r="AO68" i="9"/>
  <c r="AO69" i="9" s="1"/>
  <c r="AO68" i="1"/>
  <c r="AO69" i="1" s="1"/>
  <c r="AO35" i="1"/>
  <c r="AO34" i="1"/>
  <c r="AO33" i="1"/>
  <c r="AO32" i="1"/>
  <c r="AO31" i="1"/>
  <c r="AO30" i="1"/>
  <c r="AO29" i="1"/>
  <c r="AO28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O5" i="1"/>
  <c r="AO5" i="1"/>
  <c r="AB5" i="1"/>
  <c r="C59" i="9"/>
  <c r="AD75" i="9"/>
  <c r="AN75" i="9"/>
  <c r="AN40" i="1" l="1"/>
  <c r="Z62" i="9"/>
  <c r="Z65" i="9" s="1"/>
  <c r="Z77" i="9" s="1"/>
  <c r="V62" i="9"/>
  <c r="V65" i="9" s="1"/>
  <c r="V77" i="9" s="1"/>
  <c r="R62" i="9"/>
  <c r="R65" i="9" s="1"/>
  <c r="R77" i="9" s="1"/>
  <c r="M62" i="9"/>
  <c r="I62" i="9"/>
  <c r="I65" i="9" s="1"/>
  <c r="E62" i="9"/>
  <c r="O59" i="9"/>
  <c r="M75" i="9"/>
  <c r="J75" i="9"/>
  <c r="T75" i="9"/>
  <c r="AF75" i="9"/>
  <c r="AH75" i="9"/>
  <c r="AJ75" i="9"/>
  <c r="AL75" i="9"/>
  <c r="AM75" i="9"/>
  <c r="O57" i="1"/>
  <c r="O61" i="9"/>
  <c r="O36" i="1"/>
  <c r="L40" i="9"/>
  <c r="L45" i="9" s="1"/>
  <c r="L53" i="9" s="1"/>
  <c r="L62" i="9" s="1"/>
  <c r="L65" i="9" s="1"/>
  <c r="L77" i="9" s="1"/>
  <c r="H40" i="9"/>
  <c r="H45" i="9" s="1"/>
  <c r="H53" i="9" s="1"/>
  <c r="H62" i="9" s="1"/>
  <c r="H65" i="9" s="1"/>
  <c r="H77" i="9" s="1"/>
  <c r="D40" i="9"/>
  <c r="D45" i="9" s="1"/>
  <c r="D53" i="9" s="1"/>
  <c r="D62" i="9" s="1"/>
  <c r="D65" i="9" s="1"/>
  <c r="D77" i="9" s="1"/>
  <c r="E75" i="9"/>
  <c r="S75" i="9"/>
  <c r="Z75" i="9"/>
  <c r="AB36" i="9"/>
  <c r="O10" i="1"/>
  <c r="C19" i="6"/>
  <c r="AO55" i="9"/>
  <c r="O55" i="9"/>
  <c r="C41" i="6"/>
  <c r="O74" i="9"/>
  <c r="O75" i="9" s="1"/>
  <c r="K75" i="9"/>
  <c r="V75" i="9"/>
  <c r="AO63" i="9"/>
  <c r="O64" i="9"/>
  <c r="M65" i="9"/>
  <c r="M77" i="9" s="1"/>
  <c r="AD7" i="9"/>
  <c r="U40" i="9"/>
  <c r="U45" i="9" s="1"/>
  <c r="U53" i="9" s="1"/>
  <c r="U62" i="9" s="1"/>
  <c r="U65" i="9" s="1"/>
  <c r="U77" i="9" s="1"/>
  <c r="AO74" i="9"/>
  <c r="AO72" i="9"/>
  <c r="AO59" i="9"/>
  <c r="O57" i="9"/>
  <c r="AB57" i="9"/>
  <c r="AO54" i="9"/>
  <c r="Y40" i="9"/>
  <c r="Y45" i="9" s="1"/>
  <c r="Y53" i="9" s="1"/>
  <c r="Y62" i="9" s="1"/>
  <c r="Y65" i="9" s="1"/>
  <c r="Y77" i="9" s="1"/>
  <c r="Q40" i="9"/>
  <c r="Q45" i="9" s="1"/>
  <c r="Q53" i="9" s="1"/>
  <c r="Q62" i="9" s="1"/>
  <c r="Q65" i="9" s="1"/>
  <c r="AB55" i="9"/>
  <c r="C75" i="9"/>
  <c r="X40" i="9"/>
  <c r="X45" i="9" s="1"/>
  <c r="X53" i="9" s="1"/>
  <c r="X62" i="9" s="1"/>
  <c r="X65" i="9" s="1"/>
  <c r="X77" i="9" s="1"/>
  <c r="T40" i="9"/>
  <c r="T45" i="9" s="1"/>
  <c r="T53" i="9" s="1"/>
  <c r="T62" i="9" s="1"/>
  <c r="T65" i="9" s="1"/>
  <c r="T77" i="9" s="1"/>
  <c r="P40" i="9"/>
  <c r="P45" i="9" s="1"/>
  <c r="P53" i="9" s="1"/>
  <c r="P62" i="9" s="1"/>
  <c r="P65" i="9" s="1"/>
  <c r="P77" i="9" s="1"/>
  <c r="K40" i="9"/>
  <c r="K45" i="9" s="1"/>
  <c r="K53" i="9" s="1"/>
  <c r="K62" i="9" s="1"/>
  <c r="K65" i="9" s="1"/>
  <c r="K77" i="9" s="1"/>
  <c r="G40" i="9"/>
  <c r="G45" i="9" s="1"/>
  <c r="G53" i="9" s="1"/>
  <c r="G62" i="9" s="1"/>
  <c r="G65" i="9" s="1"/>
  <c r="C40" i="9"/>
  <c r="C45" i="9" s="1"/>
  <c r="C53" i="9" s="1"/>
  <c r="G75" i="9"/>
  <c r="W75" i="9"/>
  <c r="AO10" i="9"/>
  <c r="E65" i="9"/>
  <c r="E77" i="9" s="1"/>
  <c r="O54" i="9"/>
  <c r="AO36" i="9"/>
  <c r="AO40" i="9" s="1"/>
  <c r="AO45" i="9" s="1"/>
  <c r="AB54" i="9"/>
  <c r="AO10" i="1"/>
  <c r="AB36" i="1"/>
  <c r="AB40" i="1" s="1"/>
  <c r="AA62" i="9"/>
  <c r="AA65" i="9" s="1"/>
  <c r="AA77" i="9" s="1"/>
  <c r="W62" i="9"/>
  <c r="W65" i="9" s="1"/>
  <c r="W77" i="9" s="1"/>
  <c r="S62" i="9"/>
  <c r="S65" i="9" s="1"/>
  <c r="N40" i="9"/>
  <c r="N45" i="9" s="1"/>
  <c r="N53" i="9" s="1"/>
  <c r="N62" i="9" s="1"/>
  <c r="N65" i="9" s="1"/>
  <c r="N77" i="9" s="1"/>
  <c r="J40" i="9"/>
  <c r="J45" i="9" s="1"/>
  <c r="J53" i="9" s="1"/>
  <c r="J62" i="9" s="1"/>
  <c r="J65" i="9" s="1"/>
  <c r="J77" i="9" s="1"/>
  <c r="F40" i="9"/>
  <c r="F45" i="9" s="1"/>
  <c r="F53" i="9" s="1"/>
  <c r="F62" i="9" s="1"/>
  <c r="F65" i="9" s="1"/>
  <c r="F77" i="9" s="1"/>
  <c r="I75" i="9"/>
  <c r="O9" i="9"/>
  <c r="O10" i="9" s="1"/>
  <c r="Y75" i="9"/>
  <c r="Q75" i="9"/>
  <c r="AB57" i="1"/>
  <c r="D21" i="6"/>
  <c r="D9" i="6" s="1"/>
  <c r="D60" i="1" s="1"/>
  <c r="C10" i="7"/>
  <c r="D10" i="7" s="1"/>
  <c r="H94" i="8"/>
  <c r="G92" i="8"/>
  <c r="D66" i="8"/>
  <c r="D67" i="8" s="1"/>
  <c r="D23" i="8"/>
  <c r="P51" i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C24" i="8"/>
  <c r="D17" i="8"/>
  <c r="C22" i="8"/>
  <c r="D97" i="8"/>
  <c r="D34" i="8"/>
  <c r="D7" i="8"/>
  <c r="AC40" i="9"/>
  <c r="AC45" i="9" s="1"/>
  <c r="AC53" i="9" s="1"/>
  <c r="AC62" i="9" s="1"/>
  <c r="AC65" i="9" s="1"/>
  <c r="AC77" i="9" s="1"/>
  <c r="AE40" i="9"/>
  <c r="AE45" i="9" s="1"/>
  <c r="AE53" i="9" s="1"/>
  <c r="AE62" i="9" s="1"/>
  <c r="AE65" i="9" s="1"/>
  <c r="AE77" i="9" s="1"/>
  <c r="D42" i="8"/>
  <c r="D52" i="8" s="1"/>
  <c r="D61" i="8" s="1"/>
  <c r="C18" i="8"/>
  <c r="C35" i="8"/>
  <c r="D86" i="8"/>
  <c r="D29" i="8"/>
  <c r="C29" i="8"/>
  <c r="D22" i="8"/>
  <c r="H96" i="8"/>
  <c r="H86" i="8"/>
  <c r="I2" i="8"/>
  <c r="H7" i="8" s="1"/>
  <c r="C13" i="8"/>
  <c r="C17" i="8"/>
  <c r="C21" i="8"/>
  <c r="C26" i="8"/>
  <c r="C30" i="8"/>
  <c r="C34" i="8"/>
  <c r="D15" i="8"/>
  <c r="D19" i="8"/>
  <c r="D24" i="8"/>
  <c r="D28" i="8"/>
  <c r="D32" i="8"/>
  <c r="C66" i="8"/>
  <c r="C67" i="8" s="1"/>
  <c r="D59" i="8"/>
  <c r="D72" i="8"/>
  <c r="D92" i="8"/>
  <c r="G5" i="8"/>
  <c r="C38" i="8"/>
  <c r="D96" i="8"/>
  <c r="C97" i="8"/>
  <c r="D58" i="8"/>
  <c r="C71" i="8"/>
  <c r="D33" i="8"/>
  <c r="D27" i="8"/>
  <c r="D21" i="8"/>
  <c r="D16" i="8"/>
  <c r="C33" i="8"/>
  <c r="E33" i="8" s="1"/>
  <c r="F33" i="8" s="1"/>
  <c r="C28" i="8"/>
  <c r="C23" i="8"/>
  <c r="C16" i="8"/>
  <c r="D5" i="8"/>
  <c r="G97" i="8"/>
  <c r="H97" i="8"/>
  <c r="F4" i="6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J1" i="8"/>
  <c r="D62" i="8"/>
  <c r="D94" i="8"/>
  <c r="D71" i="8"/>
  <c r="D57" i="8"/>
  <c r="C70" i="8"/>
  <c r="D31" i="8"/>
  <c r="D26" i="8"/>
  <c r="D20" i="8"/>
  <c r="D14" i="8"/>
  <c r="C32" i="8"/>
  <c r="C27" i="8"/>
  <c r="C20" i="8"/>
  <c r="C15" i="8"/>
  <c r="H87" i="8"/>
  <c r="C92" i="8"/>
  <c r="D38" i="8"/>
  <c r="D55" i="8" s="1"/>
  <c r="D87" i="8"/>
  <c r="D70" i="8"/>
  <c r="D43" i="8"/>
  <c r="D53" i="8" s="1"/>
  <c r="D35" i="8"/>
  <c r="D30" i="8"/>
  <c r="D25" i="8"/>
  <c r="D18" i="8"/>
  <c r="D13" i="8"/>
  <c r="C31" i="8"/>
  <c r="C25" i="8"/>
  <c r="E25" i="8" s="1"/>
  <c r="F25" i="8" s="1"/>
  <c r="C19" i="8"/>
  <c r="C14" i="8"/>
  <c r="C5" i="8"/>
  <c r="H92" i="8"/>
  <c r="AD40" i="1"/>
  <c r="AA40" i="1"/>
  <c r="Y40" i="1"/>
  <c r="W40" i="1"/>
  <c r="U40" i="1"/>
  <c r="S40" i="1"/>
  <c r="Q40" i="1"/>
  <c r="N40" i="1"/>
  <c r="L40" i="1"/>
  <c r="J40" i="1"/>
  <c r="H40" i="1"/>
  <c r="F40" i="1"/>
  <c r="D40" i="1"/>
  <c r="AN40" i="9"/>
  <c r="AN45" i="9" s="1"/>
  <c r="AN53" i="9" s="1"/>
  <c r="AN62" i="9" s="1"/>
  <c r="AN65" i="9" s="1"/>
  <c r="AN77" i="9" s="1"/>
  <c r="L28" i="6"/>
  <c r="AC51" i="9"/>
  <c r="AD51" i="9" s="1"/>
  <c r="AE51" i="9" s="1"/>
  <c r="AF51" i="9" s="1"/>
  <c r="AG51" i="9" s="1"/>
  <c r="AH51" i="9" s="1"/>
  <c r="AI51" i="9" s="1"/>
  <c r="AJ51" i="9" s="1"/>
  <c r="AK51" i="9" s="1"/>
  <c r="AL51" i="9" s="1"/>
  <c r="AM51" i="9" s="1"/>
  <c r="AN51" i="9" s="1"/>
  <c r="AO51" i="9" s="1"/>
  <c r="O6" i="6"/>
  <c r="AO61" i="9"/>
  <c r="O51" i="9"/>
  <c r="C60" i="9"/>
  <c r="C33" i="6"/>
  <c r="C43" i="6" s="1"/>
  <c r="O7" i="9"/>
  <c r="AO36" i="1"/>
  <c r="AO40" i="1" s="1"/>
  <c r="AB7" i="9"/>
  <c r="AO7" i="9"/>
  <c r="C79" i="1"/>
  <c r="C79" i="9"/>
  <c r="O4" i="9"/>
  <c r="P4" i="9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G9" i="7"/>
  <c r="A13" i="7"/>
  <c r="O40" i="1"/>
  <c r="AL40" i="1"/>
  <c r="AJ40" i="1"/>
  <c r="AH40" i="1"/>
  <c r="AF40" i="1"/>
  <c r="O36" i="9"/>
  <c r="O40" i="9" s="1"/>
  <c r="O45" i="9" s="1"/>
  <c r="AB9" i="9"/>
  <c r="AB59" i="9"/>
  <c r="AB74" i="9"/>
  <c r="D7" i="1"/>
  <c r="F7" i="1"/>
  <c r="H7" i="1"/>
  <c r="J7" i="1"/>
  <c r="L7" i="1"/>
  <c r="N7" i="1"/>
  <c r="Q7" i="1"/>
  <c r="S7" i="1"/>
  <c r="U7" i="1"/>
  <c r="W7" i="1"/>
  <c r="Y7" i="1"/>
  <c r="AA7" i="1"/>
  <c r="AD7" i="1"/>
  <c r="AF7" i="1"/>
  <c r="AH7" i="1"/>
  <c r="AJ7" i="1"/>
  <c r="AL7" i="1"/>
  <c r="AM40" i="1"/>
  <c r="AK40" i="1"/>
  <c r="AI40" i="1"/>
  <c r="AG40" i="1"/>
  <c r="AE40" i="1"/>
  <c r="AC40" i="1"/>
  <c r="Z40" i="1"/>
  <c r="X40" i="1"/>
  <c r="V40" i="1"/>
  <c r="T40" i="1"/>
  <c r="R40" i="1"/>
  <c r="P40" i="1"/>
  <c r="M40" i="1"/>
  <c r="K40" i="1"/>
  <c r="I40" i="1"/>
  <c r="G40" i="1"/>
  <c r="E40" i="1"/>
  <c r="C40" i="1"/>
  <c r="AB60" i="9"/>
  <c r="AG75" i="9"/>
  <c r="AB72" i="9"/>
  <c r="AB75" i="9" s="1"/>
  <c r="AG40" i="9"/>
  <c r="AG45" i="9" s="1"/>
  <c r="AG53" i="9" s="1"/>
  <c r="AG62" i="9" s="1"/>
  <c r="AG65" i="9" s="1"/>
  <c r="AI40" i="9"/>
  <c r="AI45" i="9" s="1"/>
  <c r="AI53" i="9" s="1"/>
  <c r="AI62" i="9" s="1"/>
  <c r="AI65" i="9" s="1"/>
  <c r="AI77" i="9" s="1"/>
  <c r="AK40" i="9"/>
  <c r="AK45" i="9" s="1"/>
  <c r="AK53" i="9" s="1"/>
  <c r="AK62" i="9" s="1"/>
  <c r="AK65" i="9" s="1"/>
  <c r="AK77" i="9" s="1"/>
  <c r="AB64" i="9"/>
  <c r="AO64" i="9"/>
  <c r="AD40" i="9"/>
  <c r="AD45" i="9" s="1"/>
  <c r="AD53" i="9" s="1"/>
  <c r="AD62" i="9" s="1"/>
  <c r="AD65" i="9" s="1"/>
  <c r="AD77" i="9" s="1"/>
  <c r="AF40" i="9"/>
  <c r="AF45" i="9" s="1"/>
  <c r="AF53" i="9" s="1"/>
  <c r="AF62" i="9" s="1"/>
  <c r="AF65" i="9" s="1"/>
  <c r="AF77" i="9" s="1"/>
  <c r="AM40" i="9"/>
  <c r="AM45" i="9" s="1"/>
  <c r="AM53" i="9" s="1"/>
  <c r="AM62" i="9" s="1"/>
  <c r="AM65" i="9" s="1"/>
  <c r="AM77" i="9" s="1"/>
  <c r="O63" i="9"/>
  <c r="AH40" i="9"/>
  <c r="AH45" i="9" s="1"/>
  <c r="AH53" i="9" s="1"/>
  <c r="AH62" i="9" s="1"/>
  <c r="AH65" i="9" s="1"/>
  <c r="AH77" i="9" s="1"/>
  <c r="AJ40" i="9"/>
  <c r="AJ45" i="9" s="1"/>
  <c r="AJ53" i="9" s="1"/>
  <c r="AJ62" i="9" s="1"/>
  <c r="AJ65" i="9" s="1"/>
  <c r="AJ77" i="9" s="1"/>
  <c r="AL40" i="9"/>
  <c r="AL45" i="9" s="1"/>
  <c r="AL53" i="9" s="1"/>
  <c r="AL62" i="9" s="1"/>
  <c r="AL65" i="9" s="1"/>
  <c r="AL77" i="9" s="1"/>
  <c r="AB63" i="9"/>
  <c r="E20" i="8" l="1"/>
  <c r="F20" i="8" s="1"/>
  <c r="S77" i="9"/>
  <c r="AO75" i="9"/>
  <c r="Q77" i="9"/>
  <c r="E18" i="8"/>
  <c r="F18" i="8" s="1"/>
  <c r="E34" i="8"/>
  <c r="F34" i="8" s="1"/>
  <c r="E15" i="8"/>
  <c r="F15" i="8" s="1"/>
  <c r="D36" i="6"/>
  <c r="D41" i="6" s="1"/>
  <c r="C12" i="7"/>
  <c r="O53" i="9"/>
  <c r="D17" i="6"/>
  <c r="C61" i="1" s="1"/>
  <c r="D8" i="6"/>
  <c r="C59" i="1" s="1"/>
  <c r="E29" i="8"/>
  <c r="F29" i="8" s="1"/>
  <c r="AC51" i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O51" i="1" s="1"/>
  <c r="E17" i="8"/>
  <c r="F17" i="8" s="1"/>
  <c r="AB53" i="9"/>
  <c r="AB62" i="9" s="1"/>
  <c r="AB65" i="9" s="1"/>
  <c r="AB77" i="9" s="1"/>
  <c r="I77" i="9"/>
  <c r="O7" i="1"/>
  <c r="G77" i="9"/>
  <c r="E16" i="8"/>
  <c r="F16" i="8" s="1"/>
  <c r="C60" i="1"/>
  <c r="H21" i="8"/>
  <c r="H27" i="8"/>
  <c r="E97" i="8"/>
  <c r="F97" i="8" s="1"/>
  <c r="H28" i="8"/>
  <c r="G24" i="8"/>
  <c r="E66" i="8"/>
  <c r="F66" i="8" s="1"/>
  <c r="E71" i="8"/>
  <c r="F71" i="8" s="1"/>
  <c r="D73" i="8"/>
  <c r="G16" i="8"/>
  <c r="G70" i="8"/>
  <c r="G23" i="8"/>
  <c r="H17" i="8"/>
  <c r="H62" i="8"/>
  <c r="H31" i="8"/>
  <c r="H14" i="8"/>
  <c r="G28" i="8"/>
  <c r="H22" i="8"/>
  <c r="G34" i="8"/>
  <c r="G29" i="8"/>
  <c r="H66" i="8"/>
  <c r="H67" i="8" s="1"/>
  <c r="H23" i="8"/>
  <c r="E35" i="8"/>
  <c r="F35" i="8" s="1"/>
  <c r="G22" i="8"/>
  <c r="G33" i="8"/>
  <c r="G17" i="8"/>
  <c r="G71" i="8"/>
  <c r="H5" i="8"/>
  <c r="I5" i="8" s="1"/>
  <c r="J5" i="8" s="1"/>
  <c r="H34" i="8"/>
  <c r="H35" i="8"/>
  <c r="H18" i="8"/>
  <c r="I92" i="8"/>
  <c r="J92" i="8" s="1"/>
  <c r="D9" i="8"/>
  <c r="D10" i="8" s="1"/>
  <c r="E21" i="8"/>
  <c r="F21" i="8" s="1"/>
  <c r="E30" i="8"/>
  <c r="F30" i="8" s="1"/>
  <c r="C11" i="7"/>
  <c r="D11" i="7" s="1"/>
  <c r="E26" i="8"/>
  <c r="F26" i="8" s="1"/>
  <c r="E24" i="8"/>
  <c r="F24" i="8" s="1"/>
  <c r="E13" i="8"/>
  <c r="F13" i="8" s="1"/>
  <c r="E22" i="8"/>
  <c r="F22" i="8" s="1"/>
  <c r="E19" i="8"/>
  <c r="F19" i="8" s="1"/>
  <c r="E70" i="8"/>
  <c r="F70" i="8" s="1"/>
  <c r="E28" i="8"/>
  <c r="F28" i="8" s="1"/>
  <c r="J2" i="8"/>
  <c r="E31" i="8"/>
  <c r="F31" i="8" s="1"/>
  <c r="G19" i="8"/>
  <c r="H30" i="8"/>
  <c r="H71" i="8"/>
  <c r="H72" i="8"/>
  <c r="H19" i="8"/>
  <c r="G31" i="8"/>
  <c r="O4" i="1"/>
  <c r="P4" i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E5" i="8"/>
  <c r="F5" i="8" s="1"/>
  <c r="G20" i="8"/>
  <c r="G32" i="8"/>
  <c r="H59" i="8"/>
  <c r="H57" i="8"/>
  <c r="H29" i="8"/>
  <c r="H20" i="8"/>
  <c r="C36" i="8"/>
  <c r="E27" i="8"/>
  <c r="F27" i="8" s="1"/>
  <c r="F21" i="6"/>
  <c r="G4" i="6"/>
  <c r="H15" i="8"/>
  <c r="G21" i="8"/>
  <c r="G27" i="8"/>
  <c r="H32" i="8"/>
  <c r="G66" i="8"/>
  <c r="G13" i="8"/>
  <c r="G18" i="8"/>
  <c r="H24" i="8"/>
  <c r="G30" i="8"/>
  <c r="G35" i="8"/>
  <c r="H70" i="8"/>
  <c r="H38" i="8"/>
  <c r="H55" i="8" s="1"/>
  <c r="E14" i="8"/>
  <c r="F14" i="8" s="1"/>
  <c r="H13" i="8"/>
  <c r="G25" i="8"/>
  <c r="H42" i="8"/>
  <c r="H52" i="8" s="1"/>
  <c r="H61" i="8" s="1"/>
  <c r="G14" i="8"/>
  <c r="G26" i="8"/>
  <c r="H43" i="8"/>
  <c r="H53" i="8" s="1"/>
  <c r="I97" i="8"/>
  <c r="J97" i="8" s="1"/>
  <c r="E23" i="8"/>
  <c r="F23" i="8" s="1"/>
  <c r="G15" i="8"/>
  <c r="H26" i="8"/>
  <c r="G38" i="8"/>
  <c r="E38" i="8"/>
  <c r="F38" i="8" s="1"/>
  <c r="C55" i="8"/>
  <c r="H33" i="8"/>
  <c r="H25" i="8"/>
  <c r="H16" i="8"/>
  <c r="E92" i="8"/>
  <c r="F92" i="8" s="1"/>
  <c r="E32" i="8"/>
  <c r="F32" i="8" s="1"/>
  <c r="D36" i="8"/>
  <c r="C7" i="8"/>
  <c r="AO53" i="9"/>
  <c r="AO62" i="9" s="1"/>
  <c r="AO65" i="9" s="1"/>
  <c r="AO77" i="9" s="1"/>
  <c r="AC4" i="9"/>
  <c r="AD4" i="9" s="1"/>
  <c r="AE4" i="9" s="1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AB4" i="9"/>
  <c r="O79" i="9"/>
  <c r="H77" i="8"/>
  <c r="E10" i="7"/>
  <c r="B10" i="7"/>
  <c r="AO7" i="1"/>
  <c r="E17" i="6"/>
  <c r="E8" i="6"/>
  <c r="G7" i="8"/>
  <c r="AB40" i="9"/>
  <c r="AB45" i="9" s="1"/>
  <c r="AB10" i="9"/>
  <c r="A14" i="7"/>
  <c r="C13" i="7"/>
  <c r="C84" i="8"/>
  <c r="P6" i="6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s="1"/>
  <c r="G84" i="8"/>
  <c r="AG77" i="9"/>
  <c r="AB7" i="1"/>
  <c r="O79" i="1"/>
  <c r="G77" i="8"/>
  <c r="O60" i="9"/>
  <c r="H58" i="8"/>
  <c r="C62" i="9"/>
  <c r="C65" i="9" s="1"/>
  <c r="C77" i="9" s="1"/>
  <c r="C81" i="9" s="1"/>
  <c r="M28" i="6"/>
  <c r="O62" i="9" l="1"/>
  <c r="O65" i="9" s="1"/>
  <c r="O77" i="9" s="1"/>
  <c r="O81" i="9" s="1"/>
  <c r="P79" i="9" s="1"/>
  <c r="AB79" i="9" s="1"/>
  <c r="AB81" i="9" s="1"/>
  <c r="AC79" i="9" s="1"/>
  <c r="AO79" i="9" s="1"/>
  <c r="AO81" i="9" s="1"/>
  <c r="I28" i="8"/>
  <c r="J28" i="8" s="1"/>
  <c r="E36" i="6"/>
  <c r="E41" i="6" s="1"/>
  <c r="D61" i="1"/>
  <c r="I21" i="8"/>
  <c r="J21" i="8" s="1"/>
  <c r="I66" i="8"/>
  <c r="I67" i="8" s="1"/>
  <c r="D12" i="7"/>
  <c r="I17" i="8"/>
  <c r="J17" i="8" s="1"/>
  <c r="I33" i="8"/>
  <c r="J33" i="8" s="1"/>
  <c r="I16" i="8"/>
  <c r="J16" i="8" s="1"/>
  <c r="I24" i="8"/>
  <c r="J24" i="8" s="1"/>
  <c r="I22" i="8"/>
  <c r="J22" i="8" s="1"/>
  <c r="I34" i="8"/>
  <c r="J34" i="8" s="1"/>
  <c r="E67" i="8"/>
  <c r="F67" i="8" s="1"/>
  <c r="D13" i="7"/>
  <c r="I15" i="8"/>
  <c r="J15" i="8" s="1"/>
  <c r="D40" i="8"/>
  <c r="D45" i="8" s="1"/>
  <c r="D51" i="8" s="1"/>
  <c r="D60" i="8" s="1"/>
  <c r="D63" i="8" s="1"/>
  <c r="D75" i="8" s="1"/>
  <c r="I71" i="8"/>
  <c r="J71" i="8" s="1"/>
  <c r="I23" i="8"/>
  <c r="J23" i="8" s="1"/>
  <c r="H9" i="8"/>
  <c r="H10" i="8" s="1"/>
  <c r="I29" i="8"/>
  <c r="J29" i="8" s="1"/>
  <c r="E36" i="8"/>
  <c r="F36" i="8" s="1"/>
  <c r="I30" i="8"/>
  <c r="J30" i="8" s="1"/>
  <c r="H73" i="8"/>
  <c r="I70" i="8"/>
  <c r="J70" i="8" s="1"/>
  <c r="I27" i="8"/>
  <c r="J27" i="8" s="1"/>
  <c r="G21" i="6"/>
  <c r="H4" i="6"/>
  <c r="I35" i="8"/>
  <c r="J35" i="8" s="1"/>
  <c r="G36" i="8"/>
  <c r="F9" i="6"/>
  <c r="E60" i="1" s="1"/>
  <c r="F17" i="6"/>
  <c r="E61" i="1" s="1"/>
  <c r="F8" i="6"/>
  <c r="E59" i="1" s="1"/>
  <c r="I32" i="8"/>
  <c r="J32" i="8" s="1"/>
  <c r="I19" i="8"/>
  <c r="J19" i="8" s="1"/>
  <c r="AC4" i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B4" i="1"/>
  <c r="I38" i="8"/>
  <c r="J38" i="8" s="1"/>
  <c r="G55" i="8"/>
  <c r="I55" i="8" s="1"/>
  <c r="I14" i="8"/>
  <c r="J14" i="8" s="1"/>
  <c r="I25" i="8"/>
  <c r="J25" i="8" s="1"/>
  <c r="G67" i="8"/>
  <c r="I20" i="8"/>
  <c r="J20" i="8" s="1"/>
  <c r="I31" i="8"/>
  <c r="J31" i="8" s="1"/>
  <c r="E55" i="8"/>
  <c r="F55" i="8" s="1"/>
  <c r="I18" i="8"/>
  <c r="J18" i="8" s="1"/>
  <c r="I26" i="8"/>
  <c r="J26" i="8" s="1"/>
  <c r="I13" i="8"/>
  <c r="J13" i="8" s="1"/>
  <c r="H36" i="8"/>
  <c r="C9" i="8"/>
  <c r="E7" i="8"/>
  <c r="E9" i="8" s="1"/>
  <c r="P81" i="9"/>
  <c r="D79" i="9"/>
  <c r="D81" i="9" s="1"/>
  <c r="D32" i="6"/>
  <c r="D33" i="6" s="1"/>
  <c r="D43" i="6" s="1"/>
  <c r="I7" i="8"/>
  <c r="I9" i="8" s="1"/>
  <c r="G9" i="8"/>
  <c r="I77" i="8"/>
  <c r="J77" i="8" s="1"/>
  <c r="N28" i="6"/>
  <c r="A15" i="7"/>
  <c r="C14" i="7"/>
  <c r="D59" i="1"/>
  <c r="C42" i="1"/>
  <c r="F10" i="7"/>
  <c r="F36" i="6" l="1"/>
  <c r="F41" i="6" s="1"/>
  <c r="E40" i="8"/>
  <c r="J66" i="8"/>
  <c r="J67" i="8"/>
  <c r="AC81" i="9"/>
  <c r="AD79" i="9" s="1"/>
  <c r="AD81" i="9" s="1"/>
  <c r="H40" i="8"/>
  <c r="H45" i="8" s="1"/>
  <c r="H51" i="8" s="1"/>
  <c r="H60" i="8" s="1"/>
  <c r="H63" i="8" s="1"/>
  <c r="H75" i="8" s="1"/>
  <c r="H79" i="8" s="1"/>
  <c r="H88" i="8" s="1"/>
  <c r="J7" i="8"/>
  <c r="I36" i="8"/>
  <c r="J36" i="8" s="1"/>
  <c r="H21" i="6"/>
  <c r="I4" i="6"/>
  <c r="G8" i="6"/>
  <c r="F59" i="1" s="1"/>
  <c r="G17" i="6"/>
  <c r="F61" i="1" s="1"/>
  <c r="G9" i="6"/>
  <c r="J55" i="8"/>
  <c r="C74" i="1"/>
  <c r="G10" i="7"/>
  <c r="P32" i="6"/>
  <c r="Q79" i="9"/>
  <c r="Q81" i="9" s="1"/>
  <c r="C54" i="1"/>
  <c r="C43" i="1"/>
  <c r="J9" i="8"/>
  <c r="G10" i="8"/>
  <c r="I10" i="8" s="1"/>
  <c r="G40" i="8"/>
  <c r="E32" i="6"/>
  <c r="E33" i="6" s="1"/>
  <c r="E43" i="6" s="1"/>
  <c r="E79" i="9"/>
  <c r="E81" i="9" s="1"/>
  <c r="F9" i="8"/>
  <c r="C10" i="8"/>
  <c r="E10" i="8" s="1"/>
  <c r="C40" i="8"/>
  <c r="D14" i="7"/>
  <c r="O28" i="6"/>
  <c r="C15" i="7"/>
  <c r="A16" i="7"/>
  <c r="F7" i="8"/>
  <c r="F40" i="8" l="1"/>
  <c r="G36" i="6"/>
  <c r="H36" i="6" s="1"/>
  <c r="AB32" i="6"/>
  <c r="I40" i="8"/>
  <c r="J40" i="8" s="1"/>
  <c r="J4" i="6"/>
  <c r="I21" i="6"/>
  <c r="F60" i="1"/>
  <c r="H17" i="6"/>
  <c r="G61" i="1" s="1"/>
  <c r="H9" i="6"/>
  <c r="G60" i="1" s="1"/>
  <c r="H8" i="6"/>
  <c r="D15" i="7"/>
  <c r="R79" i="9"/>
  <c r="R81" i="9" s="1"/>
  <c r="Q32" i="6"/>
  <c r="C55" i="1"/>
  <c r="D18" i="6"/>
  <c r="A17" i="7"/>
  <c r="C16" i="7"/>
  <c r="F32" i="6"/>
  <c r="F33" i="6" s="1"/>
  <c r="F43" i="6" s="1"/>
  <c r="F79" i="9"/>
  <c r="F81" i="9" s="1"/>
  <c r="C63" i="1"/>
  <c r="D15" i="6"/>
  <c r="C75" i="1"/>
  <c r="P28" i="6"/>
  <c r="H84" i="8"/>
  <c r="D84" i="8"/>
  <c r="C45" i="1"/>
  <c r="AE79" i="9"/>
  <c r="AE81" i="9" s="1"/>
  <c r="AC32" i="6"/>
  <c r="B11" i="7"/>
  <c r="E11" i="7"/>
  <c r="G41" i="6" l="1"/>
  <c r="G59" i="1"/>
  <c r="I17" i="6"/>
  <c r="H61" i="1" s="1"/>
  <c r="I8" i="6"/>
  <c r="I9" i="6"/>
  <c r="H60" i="1" s="1"/>
  <c r="H41" i="6"/>
  <c r="I36" i="6"/>
  <c r="K4" i="6"/>
  <c r="J21" i="6"/>
  <c r="E84" i="8"/>
  <c r="F84" i="8" s="1"/>
  <c r="G32" i="6"/>
  <c r="G33" i="6" s="1"/>
  <c r="G79" i="9"/>
  <c r="G81" i="9" s="1"/>
  <c r="S79" i="9"/>
  <c r="S81" i="9" s="1"/>
  <c r="R32" i="6"/>
  <c r="F11" i="7"/>
  <c r="D42" i="1"/>
  <c r="A18" i="7"/>
  <c r="C17" i="7"/>
  <c r="D17" i="7" s="1"/>
  <c r="C64" i="1"/>
  <c r="AF79" i="9"/>
  <c r="AF81" i="9" s="1"/>
  <c r="AD32" i="6"/>
  <c r="H89" i="8"/>
  <c r="I84" i="8"/>
  <c r="J84" i="8" s="1"/>
  <c r="D14" i="6"/>
  <c r="C53" i="1"/>
  <c r="Q28" i="6"/>
  <c r="P33" i="6"/>
  <c r="D16" i="7"/>
  <c r="G43" i="6" l="1"/>
  <c r="L4" i="6"/>
  <c r="K21" i="6"/>
  <c r="J36" i="6"/>
  <c r="I41" i="6"/>
  <c r="H59" i="1"/>
  <c r="J8" i="6"/>
  <c r="I59" i="1" s="1"/>
  <c r="J9" i="6"/>
  <c r="J17" i="6"/>
  <c r="I61" i="1" s="1"/>
  <c r="C62" i="1"/>
  <c r="C65" i="1" s="1"/>
  <c r="C77" i="1" s="1"/>
  <c r="C81" i="1" s="1"/>
  <c r="D54" i="1"/>
  <c r="D43" i="1"/>
  <c r="D45" i="1" s="1"/>
  <c r="D53" i="1" s="1"/>
  <c r="R28" i="6"/>
  <c r="Q33" i="6"/>
  <c r="D19" i="6"/>
  <c r="A19" i="7"/>
  <c r="C18" i="7"/>
  <c r="G11" i="7"/>
  <c r="D74" i="1"/>
  <c r="T79" i="9"/>
  <c r="T81" i="9" s="1"/>
  <c r="S32" i="6"/>
  <c r="H79" i="9"/>
  <c r="H81" i="9" s="1"/>
  <c r="H32" i="6"/>
  <c r="H33" i="6" s="1"/>
  <c r="H43" i="6" s="1"/>
  <c r="AE32" i="6"/>
  <c r="AG79" i="9"/>
  <c r="AG81" i="9" s="1"/>
  <c r="I60" i="1" l="1"/>
  <c r="K36" i="6"/>
  <c r="J41" i="6"/>
  <c r="K9" i="6"/>
  <c r="J60" i="1" s="1"/>
  <c r="K17" i="6"/>
  <c r="J61" i="1" s="1"/>
  <c r="K8" i="6"/>
  <c r="J59" i="1" s="1"/>
  <c r="L21" i="6"/>
  <c r="M4" i="6"/>
  <c r="S28" i="6"/>
  <c r="R33" i="6"/>
  <c r="D79" i="1"/>
  <c r="D10" i="6"/>
  <c r="D11" i="6" s="1"/>
  <c r="I79" i="9"/>
  <c r="I81" i="9" s="1"/>
  <c r="I32" i="6"/>
  <c r="I33" i="6" s="1"/>
  <c r="I43" i="6" s="1"/>
  <c r="T32" i="6"/>
  <c r="U79" i="9"/>
  <c r="U81" i="9" s="1"/>
  <c r="E14" i="6"/>
  <c r="AH79" i="9"/>
  <c r="AH81" i="9" s="1"/>
  <c r="AF32" i="6"/>
  <c r="E12" i="7"/>
  <c r="B12" i="7"/>
  <c r="D63" i="1"/>
  <c r="D18" i="7"/>
  <c r="D75" i="1"/>
  <c r="E15" i="6"/>
  <c r="C19" i="7"/>
  <c r="A20" i="7"/>
  <c r="D55" i="1"/>
  <c r="D62" i="1" s="1"/>
  <c r="E18" i="6"/>
  <c r="L8" i="6" l="1"/>
  <c r="L9" i="6"/>
  <c r="L17" i="6"/>
  <c r="K61" i="1" s="1"/>
  <c r="L36" i="6"/>
  <c r="K41" i="6"/>
  <c r="M21" i="6"/>
  <c r="N4" i="6"/>
  <c r="D64" i="1"/>
  <c r="D19" i="7"/>
  <c r="A21" i="7"/>
  <c r="C20" i="7"/>
  <c r="E19" i="6"/>
  <c r="E42" i="1"/>
  <c r="F12" i="7"/>
  <c r="AI79" i="9"/>
  <c r="AI81" i="9" s="1"/>
  <c r="AG32" i="6"/>
  <c r="J79" i="9"/>
  <c r="J81" i="9" s="1"/>
  <c r="J32" i="6"/>
  <c r="J33" i="6" s="1"/>
  <c r="J43" i="6" s="1"/>
  <c r="T28" i="6"/>
  <c r="S33" i="6"/>
  <c r="V79" i="9"/>
  <c r="V81" i="9" s="1"/>
  <c r="U32" i="6"/>
  <c r="N21" i="6" l="1"/>
  <c r="O4" i="6"/>
  <c r="L41" i="6"/>
  <c r="M36" i="6"/>
  <c r="M17" i="6"/>
  <c r="L61" i="1" s="1"/>
  <c r="M9" i="6"/>
  <c r="L60" i="1" s="1"/>
  <c r="M8" i="6"/>
  <c r="L59" i="1" s="1"/>
  <c r="K60" i="1"/>
  <c r="K59" i="1"/>
  <c r="E74" i="1"/>
  <c r="G12" i="7"/>
  <c r="D20" i="7"/>
  <c r="AJ79" i="9"/>
  <c r="AJ81" i="9" s="1"/>
  <c r="AH32" i="6"/>
  <c r="K32" i="6"/>
  <c r="K33" i="6" s="1"/>
  <c r="K43" i="6" s="1"/>
  <c r="K79" i="9"/>
  <c r="K81" i="9" s="1"/>
  <c r="E54" i="1"/>
  <c r="E43" i="1"/>
  <c r="D65" i="1"/>
  <c r="D77" i="1" s="1"/>
  <c r="D81" i="1" s="1"/>
  <c r="V32" i="6"/>
  <c r="W79" i="9"/>
  <c r="W81" i="9" s="1"/>
  <c r="U28" i="6"/>
  <c r="T33" i="6"/>
  <c r="A22" i="7"/>
  <c r="C21" i="7"/>
  <c r="N36" i="6" l="1"/>
  <c r="M41" i="6"/>
  <c r="O21" i="6"/>
  <c r="P4" i="6"/>
  <c r="N9" i="6"/>
  <c r="M60" i="1" s="1"/>
  <c r="N17" i="6"/>
  <c r="M61" i="1" s="1"/>
  <c r="N8" i="6"/>
  <c r="M59" i="1" s="1"/>
  <c r="E55" i="1"/>
  <c r="F18" i="6"/>
  <c r="E13" i="7"/>
  <c r="B13" i="7"/>
  <c r="V28" i="6"/>
  <c r="U33" i="6"/>
  <c r="E45" i="1"/>
  <c r="D21" i="7"/>
  <c r="E79" i="1"/>
  <c r="E10" i="6"/>
  <c r="E11" i="6" s="1"/>
  <c r="L79" i="9"/>
  <c r="L81" i="9" s="1"/>
  <c r="L32" i="6"/>
  <c r="L33" i="6" s="1"/>
  <c r="L43" i="6" s="1"/>
  <c r="E75" i="1"/>
  <c r="F15" i="6"/>
  <c r="X79" i="9"/>
  <c r="X81" i="9" s="1"/>
  <c r="W32" i="6"/>
  <c r="E63" i="1"/>
  <c r="A23" i="7"/>
  <c r="C22" i="7"/>
  <c r="AI32" i="6"/>
  <c r="AK79" i="9"/>
  <c r="AK81" i="9" s="1"/>
  <c r="Q4" i="6" l="1"/>
  <c r="P21" i="6"/>
  <c r="O8" i="6"/>
  <c r="O9" i="6"/>
  <c r="O17" i="6"/>
  <c r="N41" i="6"/>
  <c r="O36" i="6"/>
  <c r="X32" i="6"/>
  <c r="Y79" i="9"/>
  <c r="Y81" i="9" s="1"/>
  <c r="E53" i="1"/>
  <c r="F14" i="6"/>
  <c r="F42" i="1"/>
  <c r="F13" i="7"/>
  <c r="E64" i="1"/>
  <c r="AL79" i="9"/>
  <c r="AL81" i="9" s="1"/>
  <c r="AJ32" i="6"/>
  <c r="D22" i="7"/>
  <c r="M32" i="6"/>
  <c r="M33" i="6" s="1"/>
  <c r="M43" i="6" s="1"/>
  <c r="M79" i="9"/>
  <c r="M81" i="9" s="1"/>
  <c r="C23" i="7"/>
  <c r="A24" i="7"/>
  <c r="W28" i="6"/>
  <c r="V33" i="6"/>
  <c r="C96" i="8" l="1"/>
  <c r="E96" i="8" s="1"/>
  <c r="F96" i="8" s="1"/>
  <c r="G96" i="8"/>
  <c r="I96" i="8" s="1"/>
  <c r="J96" i="8" s="1"/>
  <c r="N61" i="1"/>
  <c r="P17" i="6"/>
  <c r="P61" i="1" s="1"/>
  <c r="P9" i="6"/>
  <c r="P8" i="6"/>
  <c r="P59" i="1" s="1"/>
  <c r="G87" i="8"/>
  <c r="C87" i="8"/>
  <c r="N60" i="1"/>
  <c r="Q21" i="6"/>
  <c r="R4" i="6"/>
  <c r="H93" i="8"/>
  <c r="H98" i="8" s="1"/>
  <c r="H101" i="8" s="1"/>
  <c r="P36" i="6"/>
  <c r="D93" i="8"/>
  <c r="D98" i="8" s="1"/>
  <c r="O41" i="6"/>
  <c r="C86" i="8"/>
  <c r="E86" i="8" s="1"/>
  <c r="F86" i="8" s="1"/>
  <c r="G86" i="8"/>
  <c r="I86" i="8" s="1"/>
  <c r="J86" i="8" s="1"/>
  <c r="N59" i="1"/>
  <c r="G13" i="7"/>
  <c r="F74" i="1"/>
  <c r="A25" i="7"/>
  <c r="C24" i="7"/>
  <c r="N32" i="6"/>
  <c r="N33" i="6" s="1"/>
  <c r="N43" i="6" s="1"/>
  <c r="N79" i="9"/>
  <c r="AM79" i="9"/>
  <c r="AM81" i="9" s="1"/>
  <c r="AK32" i="6"/>
  <c r="F54" i="1"/>
  <c r="F43" i="1"/>
  <c r="F45" i="1" s="1"/>
  <c r="E62" i="1"/>
  <c r="E65" i="1" s="1"/>
  <c r="E77" i="1" s="1"/>
  <c r="E81" i="1" s="1"/>
  <c r="Z79" i="9"/>
  <c r="Z81" i="9" s="1"/>
  <c r="Y32" i="6"/>
  <c r="X28" i="6"/>
  <c r="W33" i="6"/>
  <c r="D23" i="7"/>
  <c r="F19" i="6"/>
  <c r="F53" i="1" l="1"/>
  <c r="G14" i="6"/>
  <c r="E87" i="8"/>
  <c r="F87" i="8" s="1"/>
  <c r="R21" i="6"/>
  <c r="S4" i="6"/>
  <c r="I87" i="8"/>
  <c r="J87" i="8" s="1"/>
  <c r="G59" i="8"/>
  <c r="C59" i="8"/>
  <c r="E59" i="8" s="1"/>
  <c r="F59" i="8" s="1"/>
  <c r="O61" i="1"/>
  <c r="C57" i="8"/>
  <c r="O59" i="1"/>
  <c r="G57" i="8"/>
  <c r="I57" i="8" s="1"/>
  <c r="J57" i="8" s="1"/>
  <c r="Q8" i="6"/>
  <c r="Q59" i="1" s="1"/>
  <c r="Q9" i="6"/>
  <c r="Q17" i="6"/>
  <c r="Q61" i="1" s="1"/>
  <c r="Q36" i="6"/>
  <c r="P41" i="6"/>
  <c r="P43" i="6" s="1"/>
  <c r="G58" i="8"/>
  <c r="O60" i="1"/>
  <c r="C58" i="8"/>
  <c r="P60" i="1"/>
  <c r="Q60" i="1"/>
  <c r="A26" i="7"/>
  <c r="C25" i="7"/>
  <c r="F75" i="1"/>
  <c r="G15" i="6"/>
  <c r="Z32" i="6"/>
  <c r="AA79" i="9"/>
  <c r="AA81" i="9" s="1"/>
  <c r="AA32" i="6" s="1"/>
  <c r="F79" i="1"/>
  <c r="F10" i="6"/>
  <c r="F11" i="6" s="1"/>
  <c r="N81" i="9"/>
  <c r="O32" i="6" s="1"/>
  <c r="O33" i="6" s="1"/>
  <c r="O43" i="6" s="1"/>
  <c r="D77" i="8"/>
  <c r="E14" i="7"/>
  <c r="B14" i="7"/>
  <c r="F63" i="1"/>
  <c r="Y28" i="6"/>
  <c r="X33" i="6"/>
  <c r="AN79" i="9"/>
  <c r="AN81" i="9" s="1"/>
  <c r="AM32" i="6" s="1"/>
  <c r="AL32" i="6"/>
  <c r="F55" i="1"/>
  <c r="G18" i="6"/>
  <c r="D24" i="7"/>
  <c r="F62" i="1" l="1"/>
  <c r="I58" i="8"/>
  <c r="J58" i="8" s="1"/>
  <c r="E57" i="8"/>
  <c r="F57" i="8" s="1"/>
  <c r="E58" i="8"/>
  <c r="F58" i="8" s="1"/>
  <c r="Q41" i="6"/>
  <c r="Q43" i="6" s="1"/>
  <c r="R36" i="6"/>
  <c r="T4" i="6"/>
  <c r="S21" i="6"/>
  <c r="I59" i="8"/>
  <c r="J59" i="8" s="1"/>
  <c r="R17" i="6"/>
  <c r="R61" i="1" s="1"/>
  <c r="R8" i="6"/>
  <c r="R59" i="1" s="1"/>
  <c r="R9" i="6"/>
  <c r="A27" i="7"/>
  <c r="C26" i="7"/>
  <c r="F64" i="1"/>
  <c r="G42" i="1"/>
  <c r="F14" i="7"/>
  <c r="D79" i="8"/>
  <c r="D88" i="8" s="1"/>
  <c r="D25" i="7"/>
  <c r="G19" i="6"/>
  <c r="Z28" i="6"/>
  <c r="Y33" i="6"/>
  <c r="S9" i="6" l="1"/>
  <c r="S60" i="1" s="1"/>
  <c r="S17" i="6"/>
  <c r="S61" i="1" s="1"/>
  <c r="S8" i="6"/>
  <c r="S59" i="1" s="1"/>
  <c r="R60" i="1"/>
  <c r="T21" i="6"/>
  <c r="U4" i="6"/>
  <c r="S36" i="6"/>
  <c r="R41" i="6"/>
  <c r="R43" i="6" s="1"/>
  <c r="G74" i="1"/>
  <c r="G14" i="7"/>
  <c r="G54" i="1"/>
  <c r="G43" i="1"/>
  <c r="AA28" i="6"/>
  <c r="Z33" i="6"/>
  <c r="D89" i="8"/>
  <c r="D101" i="8" s="1"/>
  <c r="D26" i="7"/>
  <c r="C27" i="7"/>
  <c r="A28" i="7"/>
  <c r="F65" i="1"/>
  <c r="F77" i="1" s="1"/>
  <c r="F81" i="1" s="1"/>
  <c r="V4" i="6" l="1"/>
  <c r="U21" i="6"/>
  <c r="T17" i="6"/>
  <c r="T61" i="1" s="1"/>
  <c r="T9" i="6"/>
  <c r="T60" i="1" s="1"/>
  <c r="T8" i="6"/>
  <c r="T59" i="1" s="1"/>
  <c r="S41" i="6"/>
  <c r="S43" i="6" s="1"/>
  <c r="T36" i="6"/>
  <c r="AB28" i="6"/>
  <c r="AA33" i="6"/>
  <c r="E15" i="7"/>
  <c r="B15" i="7"/>
  <c r="D27" i="7"/>
  <c r="G55" i="1"/>
  <c r="H18" i="6"/>
  <c r="G75" i="1"/>
  <c r="H15" i="6"/>
  <c r="G45" i="1"/>
  <c r="A29" i="7"/>
  <c r="C28" i="7"/>
  <c r="G79" i="1"/>
  <c r="G10" i="6"/>
  <c r="G11" i="6" s="1"/>
  <c r="G63" i="1"/>
  <c r="U36" i="6" l="1"/>
  <c r="T41" i="6"/>
  <c r="T43" i="6" s="1"/>
  <c r="U8" i="6"/>
  <c r="U17" i="6"/>
  <c r="U61" i="1" s="1"/>
  <c r="U9" i="6"/>
  <c r="U60" i="1" s="1"/>
  <c r="V21" i="6"/>
  <c r="W4" i="6"/>
  <c r="D28" i="7"/>
  <c r="H42" i="1"/>
  <c r="F15" i="7"/>
  <c r="AC28" i="6"/>
  <c r="AB33" i="6"/>
  <c r="A30" i="7"/>
  <c r="C29" i="7"/>
  <c r="G53" i="1"/>
  <c r="H14" i="6"/>
  <c r="G64" i="1"/>
  <c r="X4" i="6" l="1"/>
  <c r="W21" i="6"/>
  <c r="U59" i="1"/>
  <c r="V8" i="6"/>
  <c r="V59" i="1" s="1"/>
  <c r="V17" i="6"/>
  <c r="V61" i="1" s="1"/>
  <c r="V9" i="6"/>
  <c r="U41" i="6"/>
  <c r="U43" i="6" s="1"/>
  <c r="V36" i="6"/>
  <c r="H19" i="6"/>
  <c r="D29" i="7"/>
  <c r="AD28" i="6"/>
  <c r="AC33" i="6"/>
  <c r="G15" i="7"/>
  <c r="H74" i="1"/>
  <c r="G62" i="1"/>
  <c r="G65" i="1" s="1"/>
  <c r="G77" i="1" s="1"/>
  <c r="G81" i="1" s="1"/>
  <c r="A31" i="7"/>
  <c r="C30" i="7"/>
  <c r="H54" i="1"/>
  <c r="H63" i="1" s="1"/>
  <c r="H43" i="1"/>
  <c r="H55" i="1" s="1"/>
  <c r="H64" i="1" s="1"/>
  <c r="V60" i="1" l="1"/>
  <c r="W8" i="6"/>
  <c r="W9" i="6"/>
  <c r="W17" i="6"/>
  <c r="W61" i="1" s="1"/>
  <c r="H45" i="1"/>
  <c r="H53" i="1" s="1"/>
  <c r="H62" i="1" s="1"/>
  <c r="H65" i="1" s="1"/>
  <c r="V41" i="6"/>
  <c r="V43" i="6" s="1"/>
  <c r="W36" i="6"/>
  <c r="X21" i="6"/>
  <c r="Y4" i="6"/>
  <c r="H10" i="6"/>
  <c r="H11" i="6" s="1"/>
  <c r="H79" i="1"/>
  <c r="AE28" i="6"/>
  <c r="AD33" i="6"/>
  <c r="D30" i="7"/>
  <c r="H75" i="1"/>
  <c r="I15" i="6"/>
  <c r="C31" i="7"/>
  <c r="A32" i="7"/>
  <c r="E16" i="7"/>
  <c r="B16" i="7"/>
  <c r="I14" i="6" l="1"/>
  <c r="I19" i="6" s="1"/>
  <c r="X36" i="6"/>
  <c r="W41" i="6"/>
  <c r="W43" i="6" s="1"/>
  <c r="W59" i="1"/>
  <c r="Y21" i="6"/>
  <c r="Z4" i="6"/>
  <c r="W60" i="1"/>
  <c r="X8" i="6"/>
  <c r="X59" i="1" s="1"/>
  <c r="X9" i="6"/>
  <c r="X60" i="1" s="1"/>
  <c r="X17" i="6"/>
  <c r="X61" i="1" s="1"/>
  <c r="A33" i="7"/>
  <c r="C32" i="7"/>
  <c r="AF28" i="6"/>
  <c r="AE33" i="6"/>
  <c r="D31" i="7"/>
  <c r="I42" i="1"/>
  <c r="F16" i="7"/>
  <c r="H77" i="1"/>
  <c r="H81" i="1" s="1"/>
  <c r="AA4" i="6" l="1"/>
  <c r="Z21" i="6"/>
  <c r="Y9" i="6"/>
  <c r="Y17" i="6"/>
  <c r="Y61" i="1" s="1"/>
  <c r="Y8" i="6"/>
  <c r="X41" i="6"/>
  <c r="X43" i="6" s="1"/>
  <c r="Y36" i="6"/>
  <c r="A34" i="7"/>
  <c r="C33" i="7"/>
  <c r="I79" i="1"/>
  <c r="I10" i="6"/>
  <c r="I11" i="6" s="1"/>
  <c r="AG28" i="6"/>
  <c r="AF33" i="6"/>
  <c r="I54" i="1"/>
  <c r="I63" i="1" s="1"/>
  <c r="I43" i="1"/>
  <c r="G16" i="7"/>
  <c r="I74" i="1"/>
  <c r="D32" i="7"/>
  <c r="Z36" i="6" l="1"/>
  <c r="Y41" i="6"/>
  <c r="Y43" i="6" s="1"/>
  <c r="Y60" i="1"/>
  <c r="Y59" i="1"/>
  <c r="Z17" i="6"/>
  <c r="Z61" i="1" s="1"/>
  <c r="Z9" i="6"/>
  <c r="Z60" i="1" s="1"/>
  <c r="Z8" i="6"/>
  <c r="Z59" i="1" s="1"/>
  <c r="AB4" i="6"/>
  <c r="AA21" i="6"/>
  <c r="I75" i="1"/>
  <c r="J15" i="6"/>
  <c r="D33" i="7"/>
  <c r="AH28" i="6"/>
  <c r="AG33" i="6"/>
  <c r="I55" i="1"/>
  <c r="J18" i="6"/>
  <c r="B17" i="7"/>
  <c r="E17" i="7"/>
  <c r="A35" i="7"/>
  <c r="C34" i="7"/>
  <c r="I45" i="1"/>
  <c r="AA17" i="6" l="1"/>
  <c r="AA61" i="1" s="1"/>
  <c r="AB61" i="1" s="1"/>
  <c r="AA9" i="6"/>
  <c r="AA8" i="6"/>
  <c r="AB21" i="6"/>
  <c r="AC4" i="6"/>
  <c r="AA36" i="6"/>
  <c r="Z41" i="6"/>
  <c r="Z43" i="6" s="1"/>
  <c r="D34" i="7"/>
  <c r="AI28" i="6"/>
  <c r="AH33" i="6"/>
  <c r="I53" i="1"/>
  <c r="J14" i="6"/>
  <c r="C35" i="7"/>
  <c r="A36" i="7"/>
  <c r="J42" i="1"/>
  <c r="F17" i="7"/>
  <c r="I64" i="1"/>
  <c r="AB9" i="6" l="1"/>
  <c r="AC60" i="1" s="1"/>
  <c r="AB8" i="6"/>
  <c r="AC59" i="1" s="1"/>
  <c r="AB17" i="6"/>
  <c r="AC61" i="1" s="1"/>
  <c r="AA59" i="1"/>
  <c r="AB59" i="1" s="1"/>
  <c r="AA41" i="6"/>
  <c r="AA43" i="6" s="1"/>
  <c r="AB36" i="6"/>
  <c r="AA60" i="1"/>
  <c r="AB60" i="1" s="1"/>
  <c r="AD4" i="6"/>
  <c r="AC21" i="6"/>
  <c r="A37" i="7"/>
  <c r="C36" i="7"/>
  <c r="J19" i="6"/>
  <c r="J54" i="1"/>
  <c r="J63" i="1" s="1"/>
  <c r="J43" i="1"/>
  <c r="J45" i="1" s="1"/>
  <c r="J53" i="1" s="1"/>
  <c r="D35" i="7"/>
  <c r="I62" i="1"/>
  <c r="I65" i="1" s="1"/>
  <c r="I77" i="1" s="1"/>
  <c r="I81" i="1" s="1"/>
  <c r="J74" i="1"/>
  <c r="G17" i="7"/>
  <c r="AJ28" i="6"/>
  <c r="AI33" i="6"/>
  <c r="AC8" i="6" l="1"/>
  <c r="AC17" i="6"/>
  <c r="AD61" i="1" s="1"/>
  <c r="AC9" i="6"/>
  <c r="AD60" i="1" s="1"/>
  <c r="AB41" i="6"/>
  <c r="AB43" i="6" s="1"/>
  <c r="AC36" i="6"/>
  <c r="AD21" i="6"/>
  <c r="AE4" i="6"/>
  <c r="D36" i="7"/>
  <c r="A38" i="7"/>
  <c r="C37" i="7"/>
  <c r="E18" i="7"/>
  <c r="B18" i="7"/>
  <c r="AK28" i="6"/>
  <c r="AJ33" i="6"/>
  <c r="J75" i="1"/>
  <c r="K15" i="6"/>
  <c r="J79" i="1"/>
  <c r="J10" i="6"/>
  <c r="J11" i="6" s="1"/>
  <c r="J55" i="1"/>
  <c r="J62" i="1" s="1"/>
  <c r="K18" i="6"/>
  <c r="K14" i="6"/>
  <c r="AF4" i="6" l="1"/>
  <c r="AE21" i="6"/>
  <c r="AD9" i="6"/>
  <c r="AE60" i="1" s="1"/>
  <c r="AD8" i="6"/>
  <c r="AE59" i="1" s="1"/>
  <c r="AD17" i="6"/>
  <c r="AE61" i="1" s="1"/>
  <c r="AD36" i="6"/>
  <c r="AC41" i="6"/>
  <c r="AC43" i="6" s="1"/>
  <c r="AD59" i="1"/>
  <c r="K19" i="6"/>
  <c r="J64" i="1"/>
  <c r="J65" i="1" s="1"/>
  <c r="J77" i="1" s="1"/>
  <c r="J81" i="1" s="1"/>
  <c r="A39" i="7"/>
  <c r="C38" i="7"/>
  <c r="AL28" i="6"/>
  <c r="AK33" i="6"/>
  <c r="K42" i="1"/>
  <c r="F18" i="7"/>
  <c r="D37" i="7"/>
  <c r="AD41" i="6" l="1"/>
  <c r="AD43" i="6" s="1"/>
  <c r="AE36" i="6"/>
  <c r="AE17" i="6"/>
  <c r="AF61" i="1" s="1"/>
  <c r="AE9" i="6"/>
  <c r="AF60" i="1" s="1"/>
  <c r="AE8" i="6"/>
  <c r="AG4" i="6"/>
  <c r="AF21" i="6"/>
  <c r="K79" i="1"/>
  <c r="K10" i="6"/>
  <c r="K11" i="6" s="1"/>
  <c r="K54" i="1"/>
  <c r="K63" i="1" s="1"/>
  <c r="K43" i="1"/>
  <c r="K45" i="1" s="1"/>
  <c r="D38" i="7"/>
  <c r="C39" i="7"/>
  <c r="A40" i="7"/>
  <c r="G18" i="7"/>
  <c r="K74" i="1"/>
  <c r="AM28" i="6"/>
  <c r="AM33" i="6" s="1"/>
  <c r="AL33" i="6"/>
  <c r="AF17" i="6" l="1"/>
  <c r="AG61" i="1" s="1"/>
  <c r="AF9" i="6"/>
  <c r="AG60" i="1" s="1"/>
  <c r="AF8" i="6"/>
  <c r="AG59" i="1" s="1"/>
  <c r="AH4" i="6"/>
  <c r="AG21" i="6"/>
  <c r="AF36" i="6"/>
  <c r="AE41" i="6"/>
  <c r="AE43" i="6" s="1"/>
  <c r="AF59" i="1"/>
  <c r="K53" i="1"/>
  <c r="L14" i="6"/>
  <c r="K75" i="1"/>
  <c r="L15" i="6"/>
  <c r="D39" i="7"/>
  <c r="B19" i="7"/>
  <c r="E19" i="7"/>
  <c r="A41" i="7"/>
  <c r="C40" i="7"/>
  <c r="K55" i="1"/>
  <c r="L18" i="6"/>
  <c r="AF41" i="6" l="1"/>
  <c r="AF43" i="6" s="1"/>
  <c r="AG36" i="6"/>
  <c r="AG17" i="6"/>
  <c r="AH61" i="1" s="1"/>
  <c r="AG9" i="6"/>
  <c r="AH60" i="1" s="1"/>
  <c r="AG8" i="6"/>
  <c r="AH59" i="1" s="1"/>
  <c r="AH21" i="6"/>
  <c r="AI4" i="6"/>
  <c r="D40" i="7"/>
  <c r="A42" i="7"/>
  <c r="C41" i="7"/>
  <c r="L19" i="6"/>
  <c r="L42" i="1"/>
  <c r="F19" i="7"/>
  <c r="K64" i="1"/>
  <c r="K62" i="1"/>
  <c r="K65" i="1" l="1"/>
  <c r="K77" i="1" s="1"/>
  <c r="K81" i="1" s="1"/>
  <c r="L10" i="6" s="1"/>
  <c r="L11" i="6" s="1"/>
  <c r="AH8" i="6"/>
  <c r="AH17" i="6"/>
  <c r="AI61" i="1" s="1"/>
  <c r="AH9" i="6"/>
  <c r="AJ4" i="6"/>
  <c r="AI21" i="6"/>
  <c r="AG41" i="6"/>
  <c r="AG43" i="6" s="1"/>
  <c r="AH36" i="6"/>
  <c r="L74" i="1"/>
  <c r="G19" i="7"/>
  <c r="A43" i="7"/>
  <c r="C42" i="7"/>
  <c r="L54" i="1"/>
  <c r="L63" i="1" s="1"/>
  <c r="L43" i="1"/>
  <c r="D41" i="7"/>
  <c r="L79" i="1" l="1"/>
  <c r="AI36" i="6"/>
  <c r="AH41" i="6"/>
  <c r="AH43" i="6" s="1"/>
  <c r="AI60" i="1"/>
  <c r="AK4" i="6"/>
  <c r="AJ21" i="6"/>
  <c r="AI17" i="6"/>
  <c r="AJ61" i="1" s="1"/>
  <c r="AI9" i="6"/>
  <c r="AI8" i="6"/>
  <c r="AJ59" i="1" s="1"/>
  <c r="AI59" i="1"/>
  <c r="C43" i="7"/>
  <c r="A44" i="7"/>
  <c r="E20" i="7"/>
  <c r="B20" i="7"/>
  <c r="L55" i="1"/>
  <c r="M18" i="6"/>
  <c r="L75" i="1"/>
  <c r="M15" i="6"/>
  <c r="L45" i="1"/>
  <c r="D42" i="7"/>
  <c r="AJ60" i="1" l="1"/>
  <c r="AJ9" i="6"/>
  <c r="AK60" i="1" s="1"/>
  <c r="AJ17" i="6"/>
  <c r="AK61" i="1" s="1"/>
  <c r="AJ8" i="6"/>
  <c r="AL4" i="6"/>
  <c r="AK21" i="6"/>
  <c r="AJ36" i="6"/>
  <c r="AI41" i="6"/>
  <c r="AI43" i="6" s="1"/>
  <c r="D43" i="7"/>
  <c r="A45" i="7"/>
  <c r="C44" i="7"/>
  <c r="L53" i="1"/>
  <c r="L62" i="1" s="1"/>
  <c r="M14" i="6"/>
  <c r="L64" i="1"/>
  <c r="M42" i="1"/>
  <c r="F20" i="7"/>
  <c r="AK9" i="6" l="1"/>
  <c r="AL60" i="1" s="1"/>
  <c r="AK8" i="6"/>
  <c r="AL59" i="1" s="1"/>
  <c r="AK17" i="6"/>
  <c r="AL61" i="1" s="1"/>
  <c r="AK36" i="6"/>
  <c r="AJ41" i="6"/>
  <c r="AJ43" i="6" s="1"/>
  <c r="AM4" i="6"/>
  <c r="AM21" i="6" s="1"/>
  <c r="AL21" i="6"/>
  <c r="AK59" i="1"/>
  <c r="A46" i="7"/>
  <c r="C45" i="7"/>
  <c r="G20" i="7"/>
  <c r="M74" i="1"/>
  <c r="M19" i="6"/>
  <c r="D44" i="7"/>
  <c r="L65" i="1"/>
  <c r="L77" i="1" s="1"/>
  <c r="L81" i="1" s="1"/>
  <c r="M54" i="1"/>
  <c r="M63" i="1" s="1"/>
  <c r="M43" i="1"/>
  <c r="M45" i="1" s="1"/>
  <c r="M53" i="1" s="1"/>
  <c r="AL17" i="6" l="1"/>
  <c r="AM61" i="1" s="1"/>
  <c r="AL8" i="6"/>
  <c r="AM59" i="1" s="1"/>
  <c r="AL9" i="6"/>
  <c r="AM9" i="6"/>
  <c r="AM8" i="6"/>
  <c r="AM17" i="6"/>
  <c r="AK41" i="6"/>
  <c r="AK43" i="6" s="1"/>
  <c r="AL36" i="6"/>
  <c r="N14" i="6"/>
  <c r="M55" i="1"/>
  <c r="M62" i="1" s="1"/>
  <c r="N18" i="6"/>
  <c r="M79" i="1"/>
  <c r="M10" i="6"/>
  <c r="M11" i="6" s="1"/>
  <c r="M75" i="1"/>
  <c r="N15" i="6"/>
  <c r="D45" i="7"/>
  <c r="E21" i="7"/>
  <c r="B21" i="7"/>
  <c r="A47" i="7"/>
  <c r="C46" i="7"/>
  <c r="AN61" i="1" l="1"/>
  <c r="AO61" i="1" s="1"/>
  <c r="AN60" i="1"/>
  <c r="AM60" i="1"/>
  <c r="AN59" i="1"/>
  <c r="AO59" i="1" s="1"/>
  <c r="AM36" i="6"/>
  <c r="AM41" i="6" s="1"/>
  <c r="AM43" i="6" s="1"/>
  <c r="AL41" i="6"/>
  <c r="AL43" i="6" s="1"/>
  <c r="C47" i="7"/>
  <c r="A48" i="7"/>
  <c r="N19" i="6"/>
  <c r="D46" i="7"/>
  <c r="N42" i="1"/>
  <c r="F21" i="7"/>
  <c r="M64" i="1"/>
  <c r="M65" i="1" s="1"/>
  <c r="M77" i="1" s="1"/>
  <c r="M81" i="1" s="1"/>
  <c r="AO60" i="1" l="1"/>
  <c r="A49" i="7"/>
  <c r="C48" i="7"/>
  <c r="N54" i="1"/>
  <c r="C42" i="8"/>
  <c r="N43" i="1"/>
  <c r="G42" i="8"/>
  <c r="O42" i="1"/>
  <c r="D47" i="7"/>
  <c r="N74" i="1"/>
  <c r="G21" i="7"/>
  <c r="N79" i="1"/>
  <c r="C77" i="8" s="1"/>
  <c r="N10" i="6"/>
  <c r="N11" i="6" s="1"/>
  <c r="I42" i="8" l="1"/>
  <c r="J42" i="8" s="1"/>
  <c r="G52" i="8"/>
  <c r="N55" i="1"/>
  <c r="C43" i="8"/>
  <c r="C45" i="8" s="1"/>
  <c r="G43" i="8"/>
  <c r="O43" i="1"/>
  <c r="O45" i="1" s="1"/>
  <c r="D48" i="7"/>
  <c r="N75" i="1"/>
  <c r="C72" i="8"/>
  <c r="G72" i="8"/>
  <c r="O74" i="1"/>
  <c r="O75" i="1" s="1"/>
  <c r="O15" i="6"/>
  <c r="N63" i="1"/>
  <c r="O63" i="1" s="1"/>
  <c r="O54" i="1"/>
  <c r="E77" i="8"/>
  <c r="F77" i="8" s="1"/>
  <c r="N45" i="1"/>
  <c r="A50" i="7"/>
  <c r="C49" i="7"/>
  <c r="E22" i="7"/>
  <c r="B22" i="7"/>
  <c r="C52" i="8"/>
  <c r="E42" i="8"/>
  <c r="F42" i="8" s="1"/>
  <c r="C51" i="8" l="1"/>
  <c r="A51" i="7"/>
  <c r="C50" i="7"/>
  <c r="N53" i="1"/>
  <c r="O14" i="6"/>
  <c r="P42" i="1"/>
  <c r="F22" i="7"/>
  <c r="G94" i="8"/>
  <c r="C94" i="8"/>
  <c r="G53" i="8"/>
  <c r="I43" i="8"/>
  <c r="I45" i="8" s="1"/>
  <c r="G45" i="8"/>
  <c r="G73" i="8"/>
  <c r="I72" i="8"/>
  <c r="I73" i="8" s="1"/>
  <c r="O55" i="1"/>
  <c r="N64" i="1"/>
  <c r="D49" i="7"/>
  <c r="E43" i="8"/>
  <c r="E45" i="8" s="1"/>
  <c r="F45" i="8" s="1"/>
  <c r="C53" i="8"/>
  <c r="G61" i="8"/>
  <c r="I52" i="8"/>
  <c r="J52" i="8" s="1"/>
  <c r="C61" i="8"/>
  <c r="E52" i="8"/>
  <c r="F52" i="8" s="1"/>
  <c r="E72" i="8"/>
  <c r="E73" i="8" s="1"/>
  <c r="C73" i="8"/>
  <c r="F73" i="8" l="1"/>
  <c r="F72" i="8"/>
  <c r="J72" i="8"/>
  <c r="I61" i="8"/>
  <c r="J61" i="8" s="1"/>
  <c r="I94" i="8"/>
  <c r="J94" i="8" s="1"/>
  <c r="C93" i="8"/>
  <c r="O19" i="6"/>
  <c r="G93" i="8"/>
  <c r="E61" i="8"/>
  <c r="F61" i="8" s="1"/>
  <c r="E53" i="8"/>
  <c r="F53" i="8" s="1"/>
  <c r="J43" i="8"/>
  <c r="N62" i="1"/>
  <c r="N65" i="1" s="1"/>
  <c r="N77" i="1" s="1"/>
  <c r="N81" i="1" s="1"/>
  <c r="O10" i="6" s="1"/>
  <c r="O11" i="6" s="1"/>
  <c r="O53" i="1"/>
  <c r="O62" i="1" s="1"/>
  <c r="J45" i="8"/>
  <c r="G51" i="8"/>
  <c r="P74" i="1"/>
  <c r="G22" i="7"/>
  <c r="D50" i="7"/>
  <c r="E51" i="8"/>
  <c r="C60" i="8"/>
  <c r="C62" i="8"/>
  <c r="O64" i="1"/>
  <c r="G62" i="8"/>
  <c r="I53" i="8"/>
  <c r="J53" i="8" s="1"/>
  <c r="F43" i="8"/>
  <c r="J73" i="8"/>
  <c r="E94" i="8"/>
  <c r="F94" i="8" s="1"/>
  <c r="P54" i="1"/>
  <c r="P43" i="1"/>
  <c r="P45" i="1" s="1"/>
  <c r="C51" i="7"/>
  <c r="A52" i="7"/>
  <c r="E60" i="8" l="1"/>
  <c r="F60" i="8" s="1"/>
  <c r="P53" i="1"/>
  <c r="P14" i="6"/>
  <c r="A53" i="7"/>
  <c r="C52" i="7"/>
  <c r="D51" i="7"/>
  <c r="I51" i="8"/>
  <c r="I60" i="8" s="1"/>
  <c r="G60" i="8"/>
  <c r="P63" i="1"/>
  <c r="O65" i="1"/>
  <c r="O77" i="1" s="1"/>
  <c r="O81" i="1" s="1"/>
  <c r="P79" i="1" s="1"/>
  <c r="AB79" i="1" s="1"/>
  <c r="E62" i="8"/>
  <c r="P18" i="6"/>
  <c r="P55" i="1"/>
  <c r="F51" i="8"/>
  <c r="C98" i="8"/>
  <c r="E93" i="8"/>
  <c r="E98" i="8" s="1"/>
  <c r="P75" i="1"/>
  <c r="P15" i="6"/>
  <c r="I62" i="8"/>
  <c r="J62" i="8" s="1"/>
  <c r="C63" i="8"/>
  <c r="E23" i="7"/>
  <c r="B23" i="7"/>
  <c r="G98" i="8"/>
  <c r="I93" i="8"/>
  <c r="I98" i="8" s="1"/>
  <c r="E63" i="8" l="1"/>
  <c r="E75" i="8" s="1"/>
  <c r="E79" i="8" s="1"/>
  <c r="P62" i="1"/>
  <c r="P19" i="6"/>
  <c r="F62" i="8"/>
  <c r="J93" i="8"/>
  <c r="C75" i="8"/>
  <c r="F93" i="8"/>
  <c r="J51" i="8"/>
  <c r="Q42" i="1"/>
  <c r="F23" i="7"/>
  <c r="F98" i="8"/>
  <c r="G63" i="8"/>
  <c r="J60" i="8"/>
  <c r="D52" i="7"/>
  <c r="J98" i="8"/>
  <c r="P64" i="1"/>
  <c r="I63" i="8"/>
  <c r="I75" i="8" s="1"/>
  <c r="I79" i="8" s="1"/>
  <c r="A54" i="7"/>
  <c r="C53" i="7"/>
  <c r="F63" i="8" l="1"/>
  <c r="D53" i="7"/>
  <c r="A55" i="7"/>
  <c r="C54" i="7"/>
  <c r="G23" i="7"/>
  <c r="Q74" i="1"/>
  <c r="P65" i="1"/>
  <c r="P77" i="1" s="1"/>
  <c r="P81" i="1" s="1"/>
  <c r="Q54" i="1"/>
  <c r="Q43" i="1"/>
  <c r="G75" i="8"/>
  <c r="J63" i="8"/>
  <c r="F75" i="8"/>
  <c r="C79" i="8"/>
  <c r="G79" i="8" l="1"/>
  <c r="J75" i="8"/>
  <c r="C55" i="7"/>
  <c r="A56" i="7"/>
  <c r="F79" i="8"/>
  <c r="C88" i="8"/>
  <c r="Q75" i="1"/>
  <c r="Q15" i="6"/>
  <c r="Q55" i="1"/>
  <c r="Q18" i="6"/>
  <c r="Q45" i="1"/>
  <c r="E24" i="7"/>
  <c r="B24" i="7"/>
  <c r="Q79" i="1"/>
  <c r="P10" i="6"/>
  <c r="P11" i="6" s="1"/>
  <c r="Q63" i="1"/>
  <c r="D54" i="7"/>
  <c r="D55" i="7" l="1"/>
  <c r="R42" i="1"/>
  <c r="F24" i="7"/>
  <c r="Q53" i="1"/>
  <c r="Q14" i="6"/>
  <c r="J79" i="8"/>
  <c r="G88" i="8"/>
  <c r="C89" i="8"/>
  <c r="E88" i="8"/>
  <c r="E89" i="8" s="1"/>
  <c r="E101" i="8" s="1"/>
  <c r="Q64" i="1"/>
  <c r="A57" i="7"/>
  <c r="C56" i="7"/>
  <c r="F88" i="8" l="1"/>
  <c r="Q19" i="6"/>
  <c r="R54" i="1"/>
  <c r="R43" i="1"/>
  <c r="I88" i="8"/>
  <c r="I89" i="8" s="1"/>
  <c r="I101" i="8" s="1"/>
  <c r="G89" i="8"/>
  <c r="Q62" i="1"/>
  <c r="Q65" i="1" s="1"/>
  <c r="Q77" i="1" s="1"/>
  <c r="Q81" i="1" s="1"/>
  <c r="D56" i="7"/>
  <c r="A58" i="7"/>
  <c r="C57" i="7"/>
  <c r="F89" i="8"/>
  <c r="C101" i="8"/>
  <c r="R74" i="1"/>
  <c r="G24" i="7"/>
  <c r="Q10" i="6" l="1"/>
  <c r="Q11" i="6" s="1"/>
  <c r="R79" i="1"/>
  <c r="A59" i="7"/>
  <c r="C58" i="7"/>
  <c r="R55" i="1"/>
  <c r="R18" i="6"/>
  <c r="E25" i="7"/>
  <c r="B25" i="7"/>
  <c r="R63" i="1"/>
  <c r="G101" i="8"/>
  <c r="J89" i="8"/>
  <c r="D57" i="7"/>
  <c r="R75" i="1"/>
  <c r="R15" i="6"/>
  <c r="J88" i="8"/>
  <c r="R45" i="1"/>
  <c r="R53" i="1" l="1"/>
  <c r="R14" i="6"/>
  <c r="S42" i="1"/>
  <c r="F25" i="7"/>
  <c r="C59" i="7"/>
  <c r="A60" i="7"/>
  <c r="R64" i="1"/>
  <c r="D58" i="7"/>
  <c r="S54" i="1" l="1"/>
  <c r="S43" i="1"/>
  <c r="S45" i="1" s="1"/>
  <c r="G25" i="7"/>
  <c r="S74" i="1"/>
  <c r="R62" i="1"/>
  <c r="R65" i="1" s="1"/>
  <c r="R77" i="1" s="1"/>
  <c r="R81" i="1" s="1"/>
  <c r="A61" i="7"/>
  <c r="C60" i="7"/>
  <c r="D59" i="7"/>
  <c r="R19" i="6"/>
  <c r="S53" i="1" l="1"/>
  <c r="S14" i="6"/>
  <c r="D60" i="7"/>
  <c r="S75" i="1"/>
  <c r="S15" i="6"/>
  <c r="S55" i="1"/>
  <c r="S18" i="6"/>
  <c r="S63" i="1"/>
  <c r="R10" i="6"/>
  <c r="R11" i="6" s="1"/>
  <c r="S79" i="1"/>
  <c r="A62" i="7"/>
  <c r="C61" i="7"/>
  <c r="E26" i="7"/>
  <c r="B26" i="7"/>
  <c r="S62" i="1" l="1"/>
  <c r="T42" i="1"/>
  <c r="F26" i="7"/>
  <c r="S64" i="1"/>
  <c r="D61" i="7"/>
  <c r="A63" i="7"/>
  <c r="C62" i="7"/>
  <c r="S19" i="6"/>
  <c r="S65" i="1" l="1"/>
  <c r="S77" i="1" s="1"/>
  <c r="S81" i="1" s="1"/>
  <c r="T79" i="1" s="1"/>
  <c r="T74" i="1"/>
  <c r="G26" i="7"/>
  <c r="C63" i="7"/>
  <c r="A64" i="7"/>
  <c r="T54" i="1"/>
  <c r="T43" i="1"/>
  <c r="T45" i="1" s="1"/>
  <c r="D62" i="7"/>
  <c r="S10" i="6" l="1"/>
  <c r="S11" i="6" s="1"/>
  <c r="E27" i="7"/>
  <c r="B27" i="7"/>
  <c r="T55" i="1"/>
  <c r="T18" i="6"/>
  <c r="T63" i="1"/>
  <c r="T75" i="1"/>
  <c r="T15" i="6"/>
  <c r="T53" i="1"/>
  <c r="T14" i="6"/>
  <c r="A65" i="7"/>
  <c r="C64" i="7"/>
  <c r="D63" i="7"/>
  <c r="T19" i="6" l="1"/>
  <c r="D64" i="7"/>
  <c r="T62" i="1"/>
  <c r="A66" i="7"/>
  <c r="C65" i="7"/>
  <c r="T64" i="1"/>
  <c r="U42" i="1"/>
  <c r="F27" i="7"/>
  <c r="A67" i="7" l="1"/>
  <c r="C66" i="7"/>
  <c r="D65" i="7"/>
  <c r="G27" i="7"/>
  <c r="U74" i="1"/>
  <c r="U54" i="1"/>
  <c r="U63" i="1" s="1"/>
  <c r="U43" i="1"/>
  <c r="U55" i="1" s="1"/>
  <c r="U64" i="1" s="1"/>
  <c r="T65" i="1"/>
  <c r="T77" i="1" s="1"/>
  <c r="T81" i="1" s="1"/>
  <c r="D66" i="7" l="1"/>
  <c r="U79" i="1"/>
  <c r="T10" i="6"/>
  <c r="T11" i="6" s="1"/>
  <c r="U75" i="1"/>
  <c r="U15" i="6"/>
  <c r="C67" i="7"/>
  <c r="A68" i="7"/>
  <c r="E28" i="7"/>
  <c r="B28" i="7"/>
  <c r="U45" i="1"/>
  <c r="V42" i="1" l="1"/>
  <c r="F28" i="7"/>
  <c r="D67" i="7"/>
  <c r="U53" i="1"/>
  <c r="U62" i="1" s="1"/>
  <c r="U65" i="1" s="1"/>
  <c r="U77" i="1" s="1"/>
  <c r="U81" i="1" s="1"/>
  <c r="U14" i="6"/>
  <c r="A69" i="7"/>
  <c r="C68" i="7"/>
  <c r="V79" i="1" l="1"/>
  <c r="U10" i="6"/>
  <c r="U11" i="6" s="1"/>
  <c r="A70" i="7"/>
  <c r="C69" i="7"/>
  <c r="V74" i="1"/>
  <c r="G28" i="7"/>
  <c r="D68" i="7"/>
  <c r="U19" i="6"/>
  <c r="V54" i="1"/>
  <c r="V63" i="1" s="1"/>
  <c r="V43" i="1"/>
  <c r="V45" i="1" s="1"/>
  <c r="V53" i="1" s="1"/>
  <c r="V55" i="1" l="1"/>
  <c r="V18" i="6"/>
  <c r="E29" i="7"/>
  <c r="B29" i="7"/>
  <c r="V62" i="1"/>
  <c r="V75" i="1"/>
  <c r="V15" i="6"/>
  <c r="D69" i="7"/>
  <c r="V14" i="6"/>
  <c r="A71" i="7"/>
  <c r="C70" i="7"/>
  <c r="V64" i="1" l="1"/>
  <c r="V65" i="1" s="1"/>
  <c r="V77" i="1" s="1"/>
  <c r="V81" i="1" s="1"/>
  <c r="V19" i="6"/>
  <c r="W42" i="1"/>
  <c r="F29" i="7"/>
  <c r="C71" i="7"/>
  <c r="A72" i="7"/>
  <c r="D70" i="7"/>
  <c r="W54" i="1" l="1"/>
  <c r="W63" i="1" s="1"/>
  <c r="W43" i="1"/>
  <c r="A73" i="7"/>
  <c r="C72" i="7"/>
  <c r="V10" i="6"/>
  <c r="V11" i="6" s="1"/>
  <c r="W79" i="1"/>
  <c r="D71" i="7"/>
  <c r="G29" i="7"/>
  <c r="W74" i="1"/>
  <c r="E30" i="7" l="1"/>
  <c r="B30" i="7"/>
  <c r="W55" i="1"/>
  <c r="W18" i="6"/>
  <c r="W75" i="1"/>
  <c r="W15" i="6"/>
  <c r="A74" i="7"/>
  <c r="C73" i="7"/>
  <c r="W45" i="1"/>
  <c r="D72" i="7"/>
  <c r="D73" i="7" l="1"/>
  <c r="W64" i="1"/>
  <c r="A75" i="7"/>
  <c r="C74" i="7"/>
  <c r="W53" i="1"/>
  <c r="W62" i="1" s="1"/>
  <c r="W14" i="6"/>
  <c r="X42" i="1"/>
  <c r="F30" i="7"/>
  <c r="W65" i="1" l="1"/>
  <c r="W77" i="1" s="1"/>
  <c r="W81" i="1" s="1"/>
  <c r="W10" i="6" s="1"/>
  <c r="W11" i="6" s="1"/>
  <c r="C75" i="7"/>
  <c r="A76" i="7"/>
  <c r="D74" i="7"/>
  <c r="W19" i="6"/>
  <c r="X74" i="1"/>
  <c r="G30" i="7"/>
  <c r="X54" i="1"/>
  <c r="X63" i="1" s="1"/>
  <c r="X43" i="1"/>
  <c r="X79" i="1" l="1"/>
  <c r="A77" i="7"/>
  <c r="C76" i="7"/>
  <c r="X55" i="1"/>
  <c r="X18" i="6"/>
  <c r="D75" i="7"/>
  <c r="X75" i="1"/>
  <c r="X15" i="6"/>
  <c r="X45" i="1"/>
  <c r="E31" i="7"/>
  <c r="B31" i="7"/>
  <c r="Y42" i="1" l="1"/>
  <c r="F31" i="7"/>
  <c r="A78" i="7"/>
  <c r="C77" i="7"/>
  <c r="D76" i="7"/>
  <c r="X64" i="1"/>
  <c r="X53" i="1"/>
  <c r="X62" i="1" s="1"/>
  <c r="X14" i="6"/>
  <c r="X65" i="1" l="1"/>
  <c r="X77" i="1" s="1"/>
  <c r="X81" i="1" s="1"/>
  <c r="Y79" i="1" s="1"/>
  <c r="A79" i="7"/>
  <c r="C78" i="7"/>
  <c r="G31" i="7"/>
  <c r="Y74" i="1"/>
  <c r="X19" i="6"/>
  <c r="Y54" i="1"/>
  <c r="Y63" i="1" s="1"/>
  <c r="Y43" i="1"/>
  <c r="Y45" i="1" s="1"/>
  <c r="Y53" i="1" s="1"/>
  <c r="D77" i="7"/>
  <c r="X10" i="6" l="1"/>
  <c r="X11" i="6" s="1"/>
  <c r="C79" i="7"/>
  <c r="A80" i="7"/>
  <c r="E32" i="7"/>
  <c r="B32" i="7"/>
  <c r="Y75" i="1"/>
  <c r="Y15" i="6"/>
  <c r="Y55" i="1"/>
  <c r="Y62" i="1" s="1"/>
  <c r="Y18" i="6"/>
  <c r="Y14" i="6"/>
  <c r="D78" i="7"/>
  <c r="A81" i="7" l="1"/>
  <c r="C80" i="7"/>
  <c r="Y64" i="1"/>
  <c r="Y65" i="1" s="1"/>
  <c r="Y77" i="1" s="1"/>
  <c r="Y81" i="1" s="1"/>
  <c r="D79" i="7"/>
  <c r="Y19" i="6"/>
  <c r="Z42" i="1"/>
  <c r="F32" i="7"/>
  <c r="Z74" i="1" l="1"/>
  <c r="G32" i="7"/>
  <c r="Z79" i="1"/>
  <c r="Y10" i="6"/>
  <c r="Y11" i="6" s="1"/>
  <c r="D80" i="7"/>
  <c r="Z54" i="1"/>
  <c r="Z63" i="1" s="1"/>
  <c r="Z43" i="1"/>
  <c r="A82" i="7"/>
  <c r="C81" i="7"/>
  <c r="Z55" i="1" l="1"/>
  <c r="Z18" i="6"/>
  <c r="A83" i="7"/>
  <c r="C82" i="7"/>
  <c r="B33" i="7"/>
  <c r="E33" i="7"/>
  <c r="D81" i="7"/>
  <c r="Z45" i="1"/>
  <c r="Z75" i="1"/>
  <c r="Z15" i="6"/>
  <c r="C83" i="7" l="1"/>
  <c r="A84" i="7"/>
  <c r="Z64" i="1"/>
  <c r="Z53" i="1"/>
  <c r="Z62" i="1" s="1"/>
  <c r="Z14" i="6"/>
  <c r="AA42" i="1"/>
  <c r="F33" i="7"/>
  <c r="D82" i="7"/>
  <c r="D83" i="7" l="1"/>
  <c r="G33" i="7"/>
  <c r="AA74" i="1"/>
  <c r="AA54" i="1"/>
  <c r="AA43" i="1"/>
  <c r="AB42" i="1"/>
  <c r="Z65" i="1"/>
  <c r="Z77" i="1" s="1"/>
  <c r="Z81" i="1" s="1"/>
  <c r="Z19" i="6"/>
  <c r="A85" i="7"/>
  <c r="C84" i="7"/>
  <c r="A86" i="7" l="1"/>
  <c r="C85" i="7"/>
  <c r="Z10" i="6"/>
  <c r="Z11" i="6" s="1"/>
  <c r="AA79" i="1"/>
  <c r="AA63" i="1"/>
  <c r="AB63" i="1" s="1"/>
  <c r="AB54" i="1"/>
  <c r="AA75" i="1"/>
  <c r="AB74" i="1"/>
  <c r="AB75" i="1" s="1"/>
  <c r="AA15" i="6"/>
  <c r="E34" i="7"/>
  <c r="B34" i="7"/>
  <c r="AA55" i="1"/>
  <c r="AB43" i="1"/>
  <c r="AB45" i="1" s="1"/>
  <c r="D84" i="7"/>
  <c r="AA45" i="1"/>
  <c r="D85" i="7" l="1"/>
  <c r="AC42" i="1"/>
  <c r="F34" i="7"/>
  <c r="A87" i="7"/>
  <c r="C86" i="7"/>
  <c r="AB55" i="1"/>
  <c r="AA64" i="1"/>
  <c r="AA53" i="1"/>
  <c r="AA14" i="6"/>
  <c r="D86" i="7" l="1"/>
  <c r="G34" i="7"/>
  <c r="AC74" i="1"/>
  <c r="C87" i="7"/>
  <c r="A88" i="7"/>
  <c r="AC54" i="1"/>
  <c r="AC43" i="1"/>
  <c r="AC45" i="1" s="1"/>
  <c r="AC53" i="1" s="1"/>
  <c r="AA62" i="1"/>
  <c r="AA65" i="1" s="1"/>
  <c r="AA77" i="1" s="1"/>
  <c r="AA81" i="1" s="1"/>
  <c r="AA10" i="6" s="1"/>
  <c r="AA11" i="6" s="1"/>
  <c r="AB53" i="1"/>
  <c r="AB62" i="1" s="1"/>
  <c r="AB64" i="1"/>
  <c r="AA19" i="6"/>
  <c r="AB18" i="6" l="1"/>
  <c r="AC55" i="1"/>
  <c r="AC62" i="1" s="1"/>
  <c r="D87" i="7"/>
  <c r="AB14" i="6"/>
  <c r="AC75" i="1"/>
  <c r="AB15" i="6"/>
  <c r="A89" i="7"/>
  <c r="C88" i="7"/>
  <c r="AB65" i="1"/>
  <c r="AB77" i="1" s="1"/>
  <c r="AB81" i="1" s="1"/>
  <c r="AC79" i="1" s="1"/>
  <c r="AO79" i="1" s="1"/>
  <c r="AC63" i="1"/>
  <c r="B35" i="7"/>
  <c r="E35" i="7"/>
  <c r="AD42" i="1" l="1"/>
  <c r="F35" i="7"/>
  <c r="D88" i="7"/>
  <c r="A90" i="7"/>
  <c r="C89" i="7"/>
  <c r="AB19" i="6"/>
  <c r="AC64" i="1"/>
  <c r="D89" i="7" l="1"/>
  <c r="AD74" i="1"/>
  <c r="G35" i="7"/>
  <c r="AD54" i="1"/>
  <c r="AD43" i="1"/>
  <c r="A91" i="7"/>
  <c r="C90" i="7"/>
  <c r="AC65" i="1"/>
  <c r="AC77" i="1" s="1"/>
  <c r="AC81" i="1" s="1"/>
  <c r="C91" i="7" l="1"/>
  <c r="A92" i="7"/>
  <c r="E36" i="7"/>
  <c r="B36" i="7"/>
  <c r="AB10" i="6"/>
  <c r="AB11" i="6" s="1"/>
  <c r="AD79" i="1"/>
  <c r="D90" i="7"/>
  <c r="AD75" i="1"/>
  <c r="AC15" i="6"/>
  <c r="AD55" i="1"/>
  <c r="AC18" i="6"/>
  <c r="AD45" i="1"/>
  <c r="AD63" i="1"/>
  <c r="AE42" i="1" l="1"/>
  <c r="F36" i="7"/>
  <c r="AD53" i="1"/>
  <c r="AC14" i="6"/>
  <c r="A93" i="7"/>
  <c r="C92" i="7"/>
  <c r="AD64" i="1"/>
  <c r="D91" i="7"/>
  <c r="A94" i="7" l="1"/>
  <c r="C93" i="7"/>
  <c r="G36" i="7"/>
  <c r="AE74" i="1"/>
  <c r="AC19" i="6"/>
  <c r="AE54" i="1"/>
  <c r="AE43" i="1"/>
  <c r="D92" i="7"/>
  <c r="AD62" i="1"/>
  <c r="AD65" i="1" s="1"/>
  <c r="AD77" i="1" s="1"/>
  <c r="AD81" i="1" s="1"/>
  <c r="E37" i="7" l="1"/>
  <c r="B37" i="7"/>
  <c r="D93" i="7"/>
  <c r="AE55" i="1"/>
  <c r="AD18" i="6"/>
  <c r="AE45" i="1"/>
  <c r="A95" i="7"/>
  <c r="C94" i="7"/>
  <c r="AE79" i="1"/>
  <c r="AC10" i="6"/>
  <c r="AC11" i="6" s="1"/>
  <c r="AE63" i="1"/>
  <c r="AE75" i="1"/>
  <c r="AD15" i="6"/>
  <c r="AE64" i="1" l="1"/>
  <c r="AE53" i="1"/>
  <c r="AD14" i="6"/>
  <c r="D94" i="7"/>
  <c r="C95" i="7"/>
  <c r="A96" i="7"/>
  <c r="AF42" i="1"/>
  <c r="F37" i="7"/>
  <c r="AF74" i="1" l="1"/>
  <c r="G37" i="7"/>
  <c r="AF54" i="1"/>
  <c r="AF43" i="1"/>
  <c r="AD19" i="6"/>
  <c r="D95" i="7"/>
  <c r="A97" i="7"/>
  <c r="C96" i="7"/>
  <c r="AE62" i="1"/>
  <c r="AE65" i="1" s="1"/>
  <c r="AE77" i="1" s="1"/>
  <c r="AE81" i="1" s="1"/>
  <c r="E38" i="7" l="1"/>
  <c r="B38" i="7"/>
  <c r="AF63" i="1"/>
  <c r="D96" i="7"/>
  <c r="AF75" i="1"/>
  <c r="AE15" i="6"/>
  <c r="AF55" i="1"/>
  <c r="AE18" i="6"/>
  <c r="AF79" i="1"/>
  <c r="AD10" i="6"/>
  <c r="AD11" i="6" s="1"/>
  <c r="A98" i="7"/>
  <c r="C97" i="7"/>
  <c r="AF45" i="1"/>
  <c r="A99" i="7" l="1"/>
  <c r="C98" i="7"/>
  <c r="AF64" i="1"/>
  <c r="AG42" i="1"/>
  <c r="F38" i="7"/>
  <c r="D97" i="7"/>
  <c r="AF53" i="1"/>
  <c r="AE14" i="6"/>
  <c r="G38" i="7" l="1"/>
  <c r="AG74" i="1"/>
  <c r="AG54" i="1"/>
  <c r="AG43" i="1"/>
  <c r="AG45" i="1" s="1"/>
  <c r="D98" i="7"/>
  <c r="C99" i="7"/>
  <c r="A100" i="7"/>
  <c r="AE19" i="6"/>
  <c r="AF62" i="1"/>
  <c r="AF65" i="1" s="1"/>
  <c r="AF77" i="1" s="1"/>
  <c r="AF81" i="1" s="1"/>
  <c r="AG53" i="1" l="1"/>
  <c r="AF14" i="6"/>
  <c r="AG79" i="1"/>
  <c r="AE10" i="6"/>
  <c r="AE11" i="6" s="1"/>
  <c r="D99" i="7"/>
  <c r="A101" i="7"/>
  <c r="C100" i="7"/>
  <c r="AG75" i="1"/>
  <c r="AF15" i="6"/>
  <c r="AG63" i="1"/>
  <c r="AG55" i="1"/>
  <c r="AF18" i="6"/>
  <c r="B39" i="7"/>
  <c r="E39" i="7"/>
  <c r="D100" i="7" l="1"/>
  <c r="AG64" i="1"/>
  <c r="AF19" i="6"/>
  <c r="AH42" i="1"/>
  <c r="F39" i="7"/>
  <c r="A102" i="7"/>
  <c r="C101" i="7"/>
  <c r="AG62" i="1"/>
  <c r="AG65" i="1" l="1"/>
  <c r="AG77" i="1" s="1"/>
  <c r="AG81" i="1" s="1"/>
  <c r="AH79" i="1" s="1"/>
  <c r="D101" i="7"/>
  <c r="A103" i="7"/>
  <c r="C102" i="7"/>
  <c r="AH54" i="1"/>
  <c r="AH63" i="1" s="1"/>
  <c r="AH43" i="1"/>
  <c r="AH55" i="1" s="1"/>
  <c r="AH64" i="1" s="1"/>
  <c r="AH74" i="1"/>
  <c r="G39" i="7"/>
  <c r="AF10" i="6" l="1"/>
  <c r="AF11" i="6" s="1"/>
  <c r="E40" i="7"/>
  <c r="B40" i="7"/>
  <c r="AH45" i="1"/>
  <c r="AH75" i="1"/>
  <c r="AG15" i="6"/>
  <c r="D102" i="7"/>
  <c r="C103" i="7"/>
  <c r="A104" i="7"/>
  <c r="AI42" i="1" l="1"/>
  <c r="F40" i="7"/>
  <c r="A105" i="7"/>
  <c r="C104" i="7"/>
  <c r="AH53" i="1"/>
  <c r="AH62" i="1" s="1"/>
  <c r="AH65" i="1" s="1"/>
  <c r="AH77" i="1" s="1"/>
  <c r="AH81" i="1" s="1"/>
  <c r="AG14" i="6"/>
  <c r="D103" i="7"/>
  <c r="G40" i="7" l="1"/>
  <c r="AI74" i="1"/>
  <c r="AG19" i="6"/>
  <c r="D104" i="7"/>
  <c r="AI54" i="1"/>
  <c r="AI63" i="1" s="1"/>
  <c r="AI43" i="1"/>
  <c r="AI79" i="1"/>
  <c r="AG10" i="6"/>
  <c r="AG11" i="6" s="1"/>
  <c r="A106" i="7"/>
  <c r="C105" i="7"/>
  <c r="D105" i="7" l="1"/>
  <c r="A107" i="7"/>
  <c r="C106" i="7"/>
  <c r="AI55" i="1"/>
  <c r="AH18" i="6"/>
  <c r="AI75" i="1"/>
  <c r="AH15" i="6"/>
  <c r="AI45" i="1"/>
  <c r="E41" i="7"/>
  <c r="B41" i="7"/>
  <c r="C107" i="7" l="1"/>
  <c r="A108" i="7"/>
  <c r="AJ42" i="1"/>
  <c r="F41" i="7"/>
  <c r="AI64" i="1"/>
  <c r="D106" i="7"/>
  <c r="AI53" i="1"/>
  <c r="AI62" i="1" s="1"/>
  <c r="AH14" i="6"/>
  <c r="AI65" i="1" l="1"/>
  <c r="AI77" i="1" s="1"/>
  <c r="AI81" i="1" s="1"/>
  <c r="AH10" i="6" s="1"/>
  <c r="AH11" i="6" s="1"/>
  <c r="AJ74" i="1"/>
  <c r="G41" i="7"/>
  <c r="AH19" i="6"/>
  <c r="AJ54" i="1"/>
  <c r="AJ63" i="1" s="1"/>
  <c r="AJ43" i="1"/>
  <c r="A109" i="7"/>
  <c r="C108" i="7"/>
  <c r="D108" i="7" s="1"/>
  <c r="D107" i="7"/>
  <c r="AJ79" i="1" l="1"/>
  <c r="AJ55" i="1"/>
  <c r="AI18" i="6"/>
  <c r="AJ45" i="1"/>
  <c r="E42" i="7"/>
  <c r="B42" i="7"/>
  <c r="AJ75" i="1"/>
  <c r="AI15" i="6"/>
  <c r="A110" i="7"/>
  <c r="C109" i="7"/>
  <c r="AJ53" i="1" l="1"/>
  <c r="AJ62" i="1" s="1"/>
  <c r="AI14" i="6"/>
  <c r="D109" i="7"/>
  <c r="AJ64" i="1"/>
  <c r="A111" i="7"/>
  <c r="C110" i="7"/>
  <c r="AK42" i="1"/>
  <c r="F42" i="7"/>
  <c r="D110" i="7" l="1"/>
  <c r="AI19" i="6"/>
  <c r="AK54" i="1"/>
  <c r="AK63" i="1" s="1"/>
  <c r="AK43" i="1"/>
  <c r="G42" i="7"/>
  <c r="AK74" i="1"/>
  <c r="C111" i="7"/>
  <c r="D111" i="7" s="1"/>
  <c r="A112" i="7"/>
  <c r="AJ65" i="1"/>
  <c r="AJ77" i="1" s="1"/>
  <c r="AJ81" i="1" s="1"/>
  <c r="AI10" i="6" l="1"/>
  <c r="AI11" i="6" s="1"/>
  <c r="AK79" i="1"/>
  <c r="B43" i="7"/>
  <c r="E43" i="7"/>
  <c r="AK75" i="1"/>
  <c r="AJ15" i="6"/>
  <c r="A113" i="7"/>
  <c r="C112" i="7"/>
  <c r="D112" i="7" s="1"/>
  <c r="AK55" i="1"/>
  <c r="AJ18" i="6"/>
  <c r="AK45" i="1"/>
  <c r="A114" i="7" l="1"/>
  <c r="C113" i="7"/>
  <c r="D113" i="7" s="1"/>
  <c r="AL42" i="1"/>
  <c r="F43" i="7"/>
  <c r="AK64" i="1"/>
  <c r="AK53" i="1"/>
  <c r="AK62" i="1" s="1"/>
  <c r="AJ14" i="6"/>
  <c r="AL74" i="1" l="1"/>
  <c r="G43" i="7"/>
  <c r="AL54" i="1"/>
  <c r="AL63" i="1" s="1"/>
  <c r="AL43" i="1"/>
  <c r="AL45" i="1" s="1"/>
  <c r="AJ19" i="6"/>
  <c r="AK65" i="1"/>
  <c r="AK77" i="1" s="1"/>
  <c r="AK81" i="1" s="1"/>
  <c r="A115" i="7"/>
  <c r="C114" i="7"/>
  <c r="D114" i="7" s="1"/>
  <c r="AL53" i="1" l="1"/>
  <c r="AK14" i="6"/>
  <c r="AL79" i="1"/>
  <c r="AJ10" i="6"/>
  <c r="AJ11" i="6" s="1"/>
  <c r="C115" i="7"/>
  <c r="D115" i="7" s="1"/>
  <c r="A116" i="7"/>
  <c r="E44" i="7"/>
  <c r="B44" i="7"/>
  <c r="AL55" i="1"/>
  <c r="AK18" i="6"/>
  <c r="AL75" i="1"/>
  <c r="AK15" i="6"/>
  <c r="AL64" i="1" l="1"/>
  <c r="A117" i="7"/>
  <c r="C116" i="7"/>
  <c r="D116" i="7" s="1"/>
  <c r="AK19" i="6"/>
  <c r="AM42" i="1"/>
  <c r="F44" i="7"/>
  <c r="AL62" i="1"/>
  <c r="AM54" i="1" l="1"/>
  <c r="AM63" i="1" s="1"/>
  <c r="AM43" i="1"/>
  <c r="A118" i="7"/>
  <c r="C117" i="7"/>
  <c r="D117" i="7" s="1"/>
  <c r="AL65" i="1"/>
  <c r="AL77" i="1" s="1"/>
  <c r="AL81" i="1" s="1"/>
  <c r="AM74" i="1"/>
  <c r="G44" i="7"/>
  <c r="AM75" i="1" l="1"/>
  <c r="AL15" i="6"/>
  <c r="E45" i="7"/>
  <c r="B45" i="7"/>
  <c r="A119" i="7"/>
  <c r="C118" i="7"/>
  <c r="D118" i="7" s="1"/>
  <c r="AM55" i="1"/>
  <c r="AL18" i="6"/>
  <c r="AK10" i="6"/>
  <c r="AK11" i="6" s="1"/>
  <c r="AM79" i="1"/>
  <c r="AM45" i="1"/>
  <c r="AN42" i="1" l="1"/>
  <c r="F45" i="7"/>
  <c r="AM64" i="1"/>
  <c r="AM53" i="1"/>
  <c r="AM62" i="1" s="1"/>
  <c r="AL14" i="6"/>
  <c r="C119" i="7"/>
  <c r="D119" i="7" s="1"/>
  <c r="A120" i="7"/>
  <c r="A121" i="7" l="1"/>
  <c r="C120" i="7"/>
  <c r="D120" i="7" s="1"/>
  <c r="AM65" i="1"/>
  <c r="AM77" i="1" s="1"/>
  <c r="AM81" i="1" s="1"/>
  <c r="AL19" i="6"/>
  <c r="G45" i="7"/>
  <c r="AN74" i="1"/>
  <c r="AN54" i="1"/>
  <c r="AN43" i="1"/>
  <c r="AO42" i="1"/>
  <c r="AN55" i="1" l="1"/>
  <c r="AO43" i="1"/>
  <c r="AO45" i="1" s="1"/>
  <c r="B46" i="7"/>
  <c r="E46" i="7"/>
  <c r="F46" i="7" s="1"/>
  <c r="AN75" i="1"/>
  <c r="AO74" i="1"/>
  <c r="AO75" i="1" s="1"/>
  <c r="AM15" i="6"/>
  <c r="AN79" i="1"/>
  <c r="AL10" i="6"/>
  <c r="AL11" i="6" s="1"/>
  <c r="AN45" i="1"/>
  <c r="AN63" i="1"/>
  <c r="AO63" i="1" s="1"/>
  <c r="AO54" i="1"/>
  <c r="A122" i="7"/>
  <c r="C121" i="7"/>
  <c r="D121" i="7" s="1"/>
  <c r="AN53" i="1" l="1"/>
  <c r="AM14" i="6"/>
  <c r="AM19" i="6" s="1"/>
  <c r="G46" i="7"/>
  <c r="A123" i="7"/>
  <c r="C122" i="7"/>
  <c r="D122" i="7" s="1"/>
  <c r="AO55" i="1"/>
  <c r="AN64" i="1"/>
  <c r="AO64" i="1" l="1"/>
  <c r="B47" i="7"/>
  <c r="E47" i="7"/>
  <c r="F47" i="7" s="1"/>
  <c r="C123" i="7"/>
  <c r="D123" i="7" s="1"/>
  <c r="A124" i="7"/>
  <c r="AN62" i="1"/>
  <c r="AN65" i="1" s="1"/>
  <c r="AN77" i="1" s="1"/>
  <c r="AN81" i="1" s="1"/>
  <c r="AM10" i="6" s="1"/>
  <c r="AM11" i="6" s="1"/>
  <c r="AO53" i="1"/>
  <c r="AO62" i="1" s="1"/>
  <c r="A125" i="7" l="1"/>
  <c r="C124" i="7"/>
  <c r="D124" i="7" s="1"/>
  <c r="AO65" i="1"/>
  <c r="AO77" i="1" s="1"/>
  <c r="AO81" i="1" s="1"/>
  <c r="G47" i="7"/>
  <c r="B48" i="7" l="1"/>
  <c r="E48" i="7"/>
  <c r="F48" i="7" s="1"/>
  <c r="A126" i="7"/>
  <c r="C125" i="7"/>
  <c r="D125" i="7" s="1"/>
  <c r="G48" i="7" l="1"/>
  <c r="B49" i="7" s="1"/>
  <c r="A127" i="7"/>
  <c r="C126" i="7"/>
  <c r="D126" i="7" s="1"/>
  <c r="E49" i="7" l="1"/>
  <c r="F49" i="7" s="1"/>
  <c r="G49" i="7" s="1"/>
  <c r="C127" i="7"/>
  <c r="D127" i="7" s="1"/>
  <c r="A128" i="7"/>
  <c r="A129" i="7" l="1"/>
  <c r="C128" i="7"/>
  <c r="D128" i="7" s="1"/>
  <c r="E50" i="7"/>
  <c r="F50" i="7" s="1"/>
  <c r="B50" i="7"/>
  <c r="G50" i="7" l="1"/>
  <c r="A130" i="7"/>
  <c r="C129" i="7"/>
  <c r="D129" i="7" s="1"/>
  <c r="A131" i="7" l="1"/>
  <c r="C130" i="7"/>
  <c r="D130" i="7" s="1"/>
  <c r="E51" i="7"/>
  <c r="F51" i="7" s="1"/>
  <c r="B51" i="7"/>
  <c r="G51" i="7" l="1"/>
  <c r="E52" i="7" s="1"/>
  <c r="F52" i="7" s="1"/>
  <c r="C131" i="7"/>
  <c r="D131" i="7" s="1"/>
  <c r="A132" i="7"/>
  <c r="B52" i="7" l="1"/>
  <c r="G52" i="7" s="1"/>
  <c r="B53" i="7" s="1"/>
  <c r="A133" i="7"/>
  <c r="C132" i="7"/>
  <c r="D132" i="7" s="1"/>
  <c r="E53" i="7" l="1"/>
  <c r="F53" i="7" s="1"/>
  <c r="G53" i="7" s="1"/>
  <c r="A134" i="7"/>
  <c r="C133" i="7"/>
  <c r="D133" i="7" s="1"/>
  <c r="A135" i="7" l="1"/>
  <c r="C134" i="7"/>
  <c r="D134" i="7" s="1"/>
  <c r="E54" i="7"/>
  <c r="F54" i="7" s="1"/>
  <c r="B54" i="7"/>
  <c r="G54" i="7" l="1"/>
  <c r="E55" i="7" s="1"/>
  <c r="F55" i="7" s="1"/>
  <c r="C135" i="7"/>
  <c r="D135" i="7" s="1"/>
  <c r="A136" i="7"/>
  <c r="B55" i="7" l="1"/>
  <c r="G55" i="7" s="1"/>
  <c r="E56" i="7" s="1"/>
  <c r="F56" i="7" s="1"/>
  <c r="A137" i="7"/>
  <c r="C136" i="7"/>
  <c r="D136" i="7" s="1"/>
  <c r="B56" i="7" l="1"/>
  <c r="G56" i="7" s="1"/>
  <c r="E57" i="7" s="1"/>
  <c r="F57" i="7" s="1"/>
  <c r="A138" i="7"/>
  <c r="C137" i="7"/>
  <c r="D137" i="7" s="1"/>
  <c r="B57" i="7" l="1"/>
  <c r="G57" i="7" s="1"/>
  <c r="B58" i="7" s="1"/>
  <c r="A139" i="7"/>
  <c r="C138" i="7"/>
  <c r="D138" i="7" s="1"/>
  <c r="E58" i="7" l="1"/>
  <c r="F58" i="7" s="1"/>
  <c r="G58" i="7" s="1"/>
  <c r="E59" i="7" s="1"/>
  <c r="F59" i="7" s="1"/>
  <c r="C139" i="7"/>
  <c r="D139" i="7" s="1"/>
  <c r="A140" i="7"/>
  <c r="B59" i="7" l="1"/>
  <c r="G59" i="7" s="1"/>
  <c r="B60" i="7" s="1"/>
  <c r="A141" i="7"/>
  <c r="C140" i="7"/>
  <c r="D140" i="7" s="1"/>
  <c r="E60" i="7" l="1"/>
  <c r="F60" i="7" s="1"/>
  <c r="G60" i="7" s="1"/>
  <c r="E61" i="7" s="1"/>
  <c r="F61" i="7" s="1"/>
  <c r="A142" i="7"/>
  <c r="C141" i="7"/>
  <c r="D141" i="7" s="1"/>
  <c r="B61" i="7" l="1"/>
  <c r="G61" i="7" s="1"/>
  <c r="B62" i="7" s="1"/>
  <c r="C142" i="7"/>
  <c r="D142" i="7" s="1"/>
  <c r="A143" i="7"/>
  <c r="E62" i="7" l="1"/>
  <c r="F62" i="7" s="1"/>
  <c r="G62" i="7" s="1"/>
  <c r="E63" i="7" s="1"/>
  <c r="F63" i="7" s="1"/>
  <c r="A144" i="7"/>
  <c r="C143" i="7"/>
  <c r="D143" i="7" s="1"/>
  <c r="B63" i="7" l="1"/>
  <c r="G63" i="7" s="1"/>
  <c r="B64" i="7" s="1"/>
  <c r="A145" i="7"/>
  <c r="C144" i="7"/>
  <c r="D144" i="7" s="1"/>
  <c r="E64" i="7" l="1"/>
  <c r="F64" i="7" s="1"/>
  <c r="G64" i="7" s="1"/>
  <c r="E65" i="7" s="1"/>
  <c r="F65" i="7" s="1"/>
  <c r="A146" i="7"/>
  <c r="C145" i="7"/>
  <c r="D145" i="7" s="1"/>
  <c r="B65" i="7" l="1"/>
  <c r="G65" i="7" s="1"/>
  <c r="B66" i="7" s="1"/>
  <c r="C146" i="7"/>
  <c r="D146" i="7" s="1"/>
  <c r="A147" i="7"/>
  <c r="E66" i="7" l="1"/>
  <c r="F66" i="7" s="1"/>
  <c r="G66" i="7" s="1"/>
  <c r="A148" i="7"/>
  <c r="C147" i="7"/>
  <c r="D147" i="7" s="1"/>
  <c r="A149" i="7" l="1"/>
  <c r="C148" i="7"/>
  <c r="D148" i="7" s="1"/>
  <c r="E67" i="7"/>
  <c r="F67" i="7" s="1"/>
  <c r="B67" i="7"/>
  <c r="G67" i="7" l="1"/>
  <c r="E68" i="7" s="1"/>
  <c r="F68" i="7" s="1"/>
  <c r="A150" i="7"/>
  <c r="C149" i="7"/>
  <c r="D149" i="7" s="1"/>
  <c r="B68" i="7" l="1"/>
  <c r="G68" i="7" s="1"/>
  <c r="C150" i="7"/>
  <c r="D150" i="7" s="1"/>
  <c r="A151" i="7"/>
  <c r="B69" i="7" l="1"/>
  <c r="E69" i="7"/>
  <c r="F69" i="7" s="1"/>
  <c r="A152" i="7"/>
  <c r="C151" i="7"/>
  <c r="D151" i="7" s="1"/>
  <c r="G69" i="7" l="1"/>
  <c r="E70" i="7" s="1"/>
  <c r="F70" i="7" s="1"/>
  <c r="A153" i="7"/>
  <c r="C152" i="7"/>
  <c r="D152" i="7" s="1"/>
  <c r="B70" i="7" l="1"/>
  <c r="G70" i="7" s="1"/>
  <c r="E71" i="7" s="1"/>
  <c r="F71" i="7" s="1"/>
  <c r="A154" i="7"/>
  <c r="C153" i="7"/>
  <c r="D153" i="7" s="1"/>
  <c r="B71" i="7" l="1"/>
  <c r="G71" i="7" s="1"/>
  <c r="B72" i="7" s="1"/>
  <c r="C154" i="7"/>
  <c r="D154" i="7" s="1"/>
  <c r="A155" i="7"/>
  <c r="E72" i="7" l="1"/>
  <c r="F72" i="7" s="1"/>
  <c r="G72" i="7" s="1"/>
  <c r="E73" i="7" s="1"/>
  <c r="F73" i="7" s="1"/>
  <c r="A156" i="7"/>
  <c r="C155" i="7"/>
  <c r="D155" i="7" s="1"/>
  <c r="B73" i="7" l="1"/>
  <c r="G73" i="7" s="1"/>
  <c r="B74" i="7" s="1"/>
  <c r="A157" i="7"/>
  <c r="C156" i="7"/>
  <c r="D156" i="7" s="1"/>
  <c r="E74" i="7" l="1"/>
  <c r="F74" i="7" s="1"/>
  <c r="G74" i="7" s="1"/>
  <c r="E75" i="7" s="1"/>
  <c r="F75" i="7" s="1"/>
  <c r="A158" i="7"/>
  <c r="C157" i="7"/>
  <c r="D157" i="7" s="1"/>
  <c r="B75" i="7" l="1"/>
  <c r="G75" i="7" s="1"/>
  <c r="B76" i="7" s="1"/>
  <c r="C158" i="7"/>
  <c r="D158" i="7" s="1"/>
  <c r="A159" i="7"/>
  <c r="E76" i="7" l="1"/>
  <c r="F76" i="7" s="1"/>
  <c r="G76" i="7" s="1"/>
  <c r="E77" i="7" s="1"/>
  <c r="F77" i="7" s="1"/>
  <c r="A160" i="7"/>
  <c r="C159" i="7"/>
  <c r="D159" i="7" s="1"/>
  <c r="B77" i="7" l="1"/>
  <c r="G77" i="7" s="1"/>
  <c r="B78" i="7" s="1"/>
  <c r="A161" i="7"/>
  <c r="C160" i="7"/>
  <c r="D160" i="7" s="1"/>
  <c r="E78" i="7" l="1"/>
  <c r="F78" i="7" s="1"/>
  <c r="G78" i="7" s="1"/>
  <c r="E79" i="7" s="1"/>
  <c r="F79" i="7" s="1"/>
  <c r="A162" i="7"/>
  <c r="C161" i="7"/>
  <c r="D161" i="7" s="1"/>
  <c r="B79" i="7" l="1"/>
  <c r="G79" i="7" s="1"/>
  <c r="B80" i="7" s="1"/>
  <c r="C162" i="7"/>
  <c r="D162" i="7" s="1"/>
  <c r="A163" i="7"/>
  <c r="E80" i="7" l="1"/>
  <c r="F80" i="7" s="1"/>
  <c r="G80" i="7" s="1"/>
  <c r="E81" i="7" s="1"/>
  <c r="F81" i="7" s="1"/>
  <c r="A164" i="7"/>
  <c r="C163" i="7"/>
  <c r="D163" i="7" s="1"/>
  <c r="B81" i="7" l="1"/>
  <c r="G81" i="7" s="1"/>
  <c r="A165" i="7"/>
  <c r="C165" i="7" s="1"/>
  <c r="C164" i="7"/>
  <c r="D164" i="7" s="1"/>
  <c r="D165" i="7" l="1"/>
  <c r="E82" i="7"/>
  <c r="F82" i="7" s="1"/>
  <c r="B82" i="7"/>
  <c r="G82" i="7" l="1"/>
  <c r="E83" i="7" s="1"/>
  <c r="F83" i="7" s="1"/>
  <c r="B83" i="7" l="1"/>
  <c r="G83" i="7" s="1"/>
  <c r="E84" i="7" s="1"/>
  <c r="F84" i="7" s="1"/>
  <c r="B84" i="7" l="1"/>
  <c r="G84" i="7" s="1"/>
  <c r="E85" i="7" s="1"/>
  <c r="F85" i="7" s="1"/>
  <c r="B85" i="7" l="1"/>
  <c r="G85" i="7" s="1"/>
  <c r="E86" i="7" s="1"/>
  <c r="F86" i="7" s="1"/>
  <c r="B86" i="7" l="1"/>
  <c r="G86" i="7" s="1"/>
  <c r="E87" i="7" l="1"/>
  <c r="F87" i="7" s="1"/>
  <c r="B87" i="7"/>
  <c r="G87" i="7" l="1"/>
  <c r="B88" i="7" l="1"/>
  <c r="E88" i="7"/>
  <c r="F88" i="7" s="1"/>
  <c r="G88" i="7" l="1"/>
  <c r="E89" i="7" s="1"/>
  <c r="F89" i="7" s="1"/>
  <c r="B89" i="7" l="1"/>
  <c r="G89" i="7" s="1"/>
  <c r="E90" i="7" l="1"/>
  <c r="F90" i="7" s="1"/>
  <c r="B90" i="7"/>
  <c r="G90" i="7" l="1"/>
  <c r="E91" i="7" s="1"/>
  <c r="F91" i="7" s="1"/>
  <c r="B91" i="7" l="1"/>
  <c r="G91" i="7" s="1"/>
  <c r="E92" i="7" s="1"/>
  <c r="F92" i="7" s="1"/>
  <c r="B92" i="7" l="1"/>
  <c r="G92" i="7" s="1"/>
  <c r="E93" i="7" s="1"/>
  <c r="F93" i="7" s="1"/>
  <c r="B93" i="7" l="1"/>
  <c r="G93" i="7" s="1"/>
  <c r="E94" i="7" s="1"/>
  <c r="F94" i="7" s="1"/>
  <c r="B94" i="7" l="1"/>
  <c r="G94" i="7" s="1"/>
  <c r="E95" i="7" l="1"/>
  <c r="F95" i="7" s="1"/>
  <c r="B95" i="7"/>
  <c r="G95" i="7" l="1"/>
  <c r="E96" i="7" s="1"/>
  <c r="F96" i="7" s="1"/>
  <c r="B96" i="7" l="1"/>
  <c r="G96" i="7" s="1"/>
  <c r="E97" i="7" s="1"/>
  <c r="F97" i="7" s="1"/>
  <c r="B97" i="7" l="1"/>
  <c r="G97" i="7" s="1"/>
  <c r="E98" i="7" s="1"/>
  <c r="F98" i="7" s="1"/>
  <c r="B98" i="7" l="1"/>
  <c r="G98" i="7" s="1"/>
  <c r="E99" i="7" l="1"/>
  <c r="F99" i="7" s="1"/>
  <c r="B99" i="7"/>
  <c r="G99" i="7" l="1"/>
  <c r="E100" i="7" s="1"/>
  <c r="F100" i="7" s="1"/>
  <c r="B100" i="7" l="1"/>
  <c r="G100" i="7" s="1"/>
  <c r="E101" i="7" s="1"/>
  <c r="F101" i="7" s="1"/>
  <c r="B101" i="7" l="1"/>
  <c r="G101" i="7" s="1"/>
  <c r="B102" i="7" l="1"/>
  <c r="E102" i="7"/>
  <c r="F102" i="7" s="1"/>
  <c r="G102" i="7" l="1"/>
  <c r="B103" i="7" s="1"/>
  <c r="E103" i="7" l="1"/>
  <c r="F103" i="7" s="1"/>
  <c r="G103" i="7" s="1"/>
  <c r="B104" i="7" s="1"/>
  <c r="E104" i="7" l="1"/>
  <c r="F104" i="7" s="1"/>
  <c r="G104" i="7" s="1"/>
  <c r="B105" i="7" s="1"/>
  <c r="E105" i="7" l="1"/>
  <c r="F105" i="7" s="1"/>
  <c r="G105" i="7" s="1"/>
  <c r="E106" i="7" s="1"/>
  <c r="F106" i="7" s="1"/>
  <c r="B106" i="7" l="1"/>
  <c r="G106" i="7" s="1"/>
  <c r="E107" i="7" s="1"/>
  <c r="F107" i="7" s="1"/>
  <c r="B107" i="7" l="1"/>
  <c r="G107" i="7" s="1"/>
  <c r="B108" i="7" s="1"/>
  <c r="E108" i="7" l="1"/>
  <c r="F108" i="7" s="1"/>
  <c r="G108" i="7" s="1"/>
  <c r="E109" i="7" l="1"/>
  <c r="F109" i="7" s="1"/>
  <c r="B109" i="7"/>
  <c r="G109" i="7" l="1"/>
  <c r="E110" i="7" s="1"/>
  <c r="F110" i="7" s="1"/>
  <c r="B110" i="7" l="1"/>
  <c r="G110" i="7" s="1"/>
  <c r="E111" i="7" s="1"/>
  <c r="F111" i="7" s="1"/>
  <c r="B111" i="7" l="1"/>
  <c r="G111" i="7" s="1"/>
  <c r="E112" i="7" s="1"/>
  <c r="F112" i="7" s="1"/>
  <c r="B112" i="7" l="1"/>
  <c r="G112" i="7" s="1"/>
  <c r="E113" i="7" l="1"/>
  <c r="F113" i="7" s="1"/>
  <c r="B113" i="7"/>
  <c r="G113" i="7" l="1"/>
  <c r="E114" i="7" s="1"/>
  <c r="F114" i="7" s="1"/>
  <c r="B114" i="7" l="1"/>
  <c r="G114" i="7" s="1"/>
  <c r="E115" i="7" l="1"/>
  <c r="F115" i="7" s="1"/>
  <c r="B115" i="7"/>
  <c r="G115" i="7" l="1"/>
  <c r="E116" i="7" s="1"/>
  <c r="F116" i="7" s="1"/>
  <c r="B116" i="7" l="1"/>
  <c r="G116" i="7" s="1"/>
  <c r="B117" i="7" l="1"/>
  <c r="E117" i="7"/>
  <c r="F117" i="7" s="1"/>
  <c r="G117" i="7" l="1"/>
  <c r="E118" i="7" s="1"/>
  <c r="F118" i="7" s="1"/>
  <c r="B118" i="7" l="1"/>
  <c r="G118" i="7" s="1"/>
  <c r="B119" i="7" s="1"/>
  <c r="E119" i="7" l="1"/>
  <c r="F119" i="7" s="1"/>
  <c r="G119" i="7" s="1"/>
  <c r="E120" i="7" s="1"/>
  <c r="F120" i="7" s="1"/>
  <c r="B120" i="7" l="1"/>
  <c r="G120" i="7" s="1"/>
  <c r="E121" i="7" l="1"/>
  <c r="F121" i="7" s="1"/>
  <c r="B121" i="7"/>
  <c r="G121" i="7" l="1"/>
  <c r="E122" i="7" l="1"/>
  <c r="F122" i="7" s="1"/>
  <c r="B122" i="7"/>
  <c r="G122" i="7" l="1"/>
  <c r="E123" i="7" s="1"/>
  <c r="F123" i="7" s="1"/>
  <c r="B123" i="7" l="1"/>
  <c r="G123" i="7" s="1"/>
  <c r="E124" i="7" l="1"/>
  <c r="F124" i="7" s="1"/>
  <c r="B124" i="7"/>
  <c r="G124" i="7" l="1"/>
  <c r="B125" i="7" l="1"/>
  <c r="E125" i="7"/>
  <c r="F125" i="7" s="1"/>
  <c r="G125" i="7" l="1"/>
  <c r="E126" i="7" s="1"/>
  <c r="F126" i="7" s="1"/>
  <c r="B126" i="7" l="1"/>
  <c r="G126" i="7" s="1"/>
  <c r="B127" i="7" s="1"/>
  <c r="E127" i="7" l="1"/>
  <c r="F127" i="7" s="1"/>
  <c r="G127" i="7" s="1"/>
  <c r="E128" i="7" s="1"/>
  <c r="F128" i="7" s="1"/>
  <c r="B128" i="7" l="1"/>
  <c r="G128" i="7" s="1"/>
  <c r="E129" i="7" s="1"/>
  <c r="F129" i="7" s="1"/>
  <c r="B129" i="7" l="1"/>
  <c r="G129" i="7" s="1"/>
  <c r="B130" i="7" l="1"/>
  <c r="E130" i="7"/>
  <c r="F130" i="7" s="1"/>
  <c r="G130" i="7" l="1"/>
  <c r="B131" i="7" s="1"/>
  <c r="E131" i="7" l="1"/>
  <c r="F131" i="7" s="1"/>
  <c r="G131" i="7" s="1"/>
  <c r="E132" i="7" s="1"/>
  <c r="F132" i="7" s="1"/>
  <c r="B132" i="7" l="1"/>
  <c r="G132" i="7" s="1"/>
  <c r="E133" i="7" s="1"/>
  <c r="F133" i="7" s="1"/>
  <c r="B133" i="7" l="1"/>
  <c r="G133" i="7" s="1"/>
  <c r="E134" i="7" l="1"/>
  <c r="F134" i="7" s="1"/>
  <c r="B134" i="7"/>
  <c r="G134" i="7" l="1"/>
  <c r="E135" i="7" l="1"/>
  <c r="F135" i="7" s="1"/>
  <c r="B135" i="7"/>
  <c r="G135" i="7" l="1"/>
  <c r="B136" i="7" s="1"/>
  <c r="E136" i="7" l="1"/>
  <c r="F136" i="7" s="1"/>
  <c r="G136" i="7" s="1"/>
  <c r="B137" i="7" s="1"/>
  <c r="E137" i="7" l="1"/>
  <c r="F137" i="7" s="1"/>
  <c r="G137" i="7" s="1"/>
  <c r="E138" i="7" s="1"/>
  <c r="F138" i="7" s="1"/>
  <c r="B138" i="7" l="1"/>
  <c r="G138" i="7" s="1"/>
  <c r="E139" i="7" s="1"/>
  <c r="F139" i="7" s="1"/>
  <c r="B139" i="7" l="1"/>
  <c r="G139" i="7" s="1"/>
  <c r="B140" i="7" s="1"/>
  <c r="E140" i="7" l="1"/>
  <c r="F140" i="7" s="1"/>
  <c r="G140" i="7" s="1"/>
  <c r="B141" i="7" l="1"/>
  <c r="E141" i="7"/>
  <c r="F141" i="7" s="1"/>
  <c r="G141" i="7" l="1"/>
  <c r="E142" i="7" s="1"/>
  <c r="F142" i="7" s="1"/>
  <c r="B142" i="7" l="1"/>
  <c r="G142" i="7" s="1"/>
  <c r="E143" i="7" s="1"/>
  <c r="F143" i="7" s="1"/>
  <c r="B143" i="7" l="1"/>
  <c r="G143" i="7" s="1"/>
  <c r="E144" i="7" l="1"/>
  <c r="F144" i="7" s="1"/>
  <c r="B144" i="7"/>
  <c r="G144" i="7" l="1"/>
  <c r="E145" i="7" s="1"/>
  <c r="F145" i="7" s="1"/>
  <c r="B145" i="7" l="1"/>
  <c r="G145" i="7" s="1"/>
  <c r="E146" i="7" s="1"/>
  <c r="F146" i="7" s="1"/>
  <c r="B146" i="7" l="1"/>
  <c r="G146" i="7" s="1"/>
  <c r="E147" i="7" l="1"/>
  <c r="F147" i="7" s="1"/>
  <c r="B147" i="7"/>
  <c r="G147" i="7" l="1"/>
  <c r="E148" i="7" l="1"/>
  <c r="F148" i="7" s="1"/>
  <c r="B148" i="7"/>
  <c r="G148" i="7" l="1"/>
  <c r="E149" i="7" l="1"/>
  <c r="F149" i="7" s="1"/>
  <c r="B149" i="7"/>
  <c r="G149" i="7" l="1"/>
  <c r="B150" i="7" s="1"/>
  <c r="E150" i="7" l="1"/>
  <c r="F150" i="7" s="1"/>
  <c r="G150" i="7" s="1"/>
  <c r="E151" i="7" s="1"/>
  <c r="F151" i="7" s="1"/>
  <c r="B151" i="7" l="1"/>
  <c r="G151" i="7" s="1"/>
  <c r="B152" i="7" s="1"/>
  <c r="E152" i="7" l="1"/>
  <c r="F152" i="7" s="1"/>
  <c r="G152" i="7" s="1"/>
  <c r="E153" i="7" s="1"/>
  <c r="F153" i="7" s="1"/>
  <c r="B153" i="7" l="1"/>
  <c r="G153" i="7" s="1"/>
  <c r="B154" i="7" l="1"/>
  <c r="E154" i="7"/>
  <c r="F154" i="7" s="1"/>
  <c r="G154" i="7" l="1"/>
  <c r="B155" i="7" s="1"/>
  <c r="E155" i="7" l="1"/>
  <c r="F155" i="7" s="1"/>
  <c r="G155" i="7" s="1"/>
  <c r="B156" i="7" s="1"/>
  <c r="E156" i="7" l="1"/>
  <c r="F156" i="7" s="1"/>
  <c r="G156" i="7" s="1"/>
  <c r="B157" i="7" s="1"/>
  <c r="E157" i="7" l="1"/>
  <c r="F157" i="7" s="1"/>
  <c r="G157" i="7" s="1"/>
  <c r="B158" i="7" s="1"/>
  <c r="E158" i="7" l="1"/>
  <c r="F158" i="7" s="1"/>
  <c r="G158" i="7" s="1"/>
  <c r="E159" i="7" s="1"/>
  <c r="F159" i="7" s="1"/>
  <c r="B159" i="7" l="1"/>
  <c r="G159" i="7" s="1"/>
  <c r="E160" i="7" s="1"/>
  <c r="F160" i="7" s="1"/>
  <c r="B160" i="7" l="1"/>
  <c r="G160" i="7" s="1"/>
  <c r="E161" i="7" l="1"/>
  <c r="F161" i="7" s="1"/>
  <c r="B161" i="7"/>
  <c r="G161" i="7" l="1"/>
  <c r="E162" i="7" s="1"/>
  <c r="F162" i="7" s="1"/>
  <c r="B162" i="7" l="1"/>
  <c r="G162" i="7" s="1"/>
  <c r="B163" i="7" s="1"/>
  <c r="E163" i="7" l="1"/>
  <c r="F163" i="7" s="1"/>
  <c r="G163" i="7" s="1"/>
  <c r="E164" i="7" s="1"/>
  <c r="F164" i="7" s="1"/>
  <c r="B164" i="7" l="1"/>
  <c r="G164" i="7" s="1"/>
  <c r="E165" i="7" s="1"/>
  <c r="F165" i="7" s="1"/>
  <c r="B165" i="7" l="1"/>
  <c r="G165" i="7" s="1"/>
</calcChain>
</file>

<file path=xl/sharedStrings.xml><?xml version="1.0" encoding="utf-8"?>
<sst xmlns="http://schemas.openxmlformats.org/spreadsheetml/2006/main" count="292" uniqueCount="120">
  <si>
    <t>Turnover</t>
  </si>
  <si>
    <t>Cost of Sales</t>
  </si>
  <si>
    <t>Gross Profit</t>
  </si>
  <si>
    <t>Gross Profit %</t>
  </si>
  <si>
    <t>Accounting Fees</t>
  </si>
  <si>
    <t>Bank Charges</t>
  </si>
  <si>
    <t>Computer Expenses</t>
  </si>
  <si>
    <t>Uniforms</t>
  </si>
  <si>
    <t>Electricity &amp; Water</t>
  </si>
  <si>
    <t xml:space="preserve">Entertainment </t>
  </si>
  <si>
    <t>Insurance</t>
  </si>
  <si>
    <t>Printing &amp; Stationery</t>
  </si>
  <si>
    <t>Rent</t>
  </si>
  <si>
    <t>Salaries &amp; Wages</t>
  </si>
  <si>
    <t>Security</t>
  </si>
  <si>
    <t>Subscriptions</t>
  </si>
  <si>
    <t>Telephone &amp; Fax</t>
  </si>
  <si>
    <t>Advertising &amp; Marketing</t>
  </si>
  <si>
    <t>Cleaning Expenses</t>
  </si>
  <si>
    <t>Professional Fees</t>
  </si>
  <si>
    <t>Postage</t>
  </si>
  <si>
    <t>Motor Vehicle Expenses</t>
  </si>
  <si>
    <t>Equipment Hire</t>
  </si>
  <si>
    <t>Repairs &amp; Maintenance</t>
  </si>
  <si>
    <t>Consumables</t>
  </si>
  <si>
    <t>Legal Fees</t>
  </si>
  <si>
    <t>Training</t>
  </si>
  <si>
    <t>Inventory</t>
  </si>
  <si>
    <t>Debtors</t>
  </si>
  <si>
    <t>Creditors</t>
  </si>
  <si>
    <t>Working Capital</t>
  </si>
  <si>
    <t>Debtors Days</t>
  </si>
  <si>
    <t>Creditors Days</t>
  </si>
  <si>
    <t>Inventory Days</t>
  </si>
  <si>
    <t>Income Tax %</t>
  </si>
  <si>
    <t>Interest Rate</t>
  </si>
  <si>
    <t>Balance Sheet</t>
  </si>
  <si>
    <t>Assets</t>
  </si>
  <si>
    <t>Current Assets</t>
  </si>
  <si>
    <t>Cash</t>
  </si>
  <si>
    <t>Equity &amp; Liabilities</t>
  </si>
  <si>
    <t>Retained Earnings</t>
  </si>
  <si>
    <t>Current Liabilities</t>
  </si>
  <si>
    <t>Taxation</t>
  </si>
  <si>
    <t>Start-up Balances</t>
  </si>
  <si>
    <t>Long Term Loans</t>
  </si>
  <si>
    <t>Repayment Term</t>
  </si>
  <si>
    <t>Repayment Term (Years)</t>
  </si>
  <si>
    <t>Interest Only</t>
  </si>
  <si>
    <t>No</t>
  </si>
  <si>
    <t>Interest</t>
  </si>
  <si>
    <t>Opening Balance</t>
  </si>
  <si>
    <t>Closing Balance</t>
  </si>
  <si>
    <t>Start Date</t>
  </si>
  <si>
    <t>Days in month</t>
  </si>
  <si>
    <t>Month</t>
  </si>
  <si>
    <t>Provision for Taxation</t>
  </si>
  <si>
    <t>Forecast</t>
  </si>
  <si>
    <t>YTD - Months</t>
  </si>
  <si>
    <t>Actual</t>
  </si>
  <si>
    <t>Difference</t>
  </si>
  <si>
    <t>Total Assets</t>
  </si>
  <si>
    <t>Total Equity &amp; Liabilities</t>
  </si>
  <si>
    <t>Reporting Months</t>
  </si>
  <si>
    <t>Expenses</t>
  </si>
  <si>
    <t>Property, Plant &amp; Equipment</t>
  </si>
  <si>
    <t>Shareholders' Contributions</t>
  </si>
  <si>
    <t>Loan Terms</t>
  </si>
  <si>
    <t>Note: It is assumed that income tax is paid on a bi-annual basis (every 6 months).</t>
  </si>
  <si>
    <t>Additional Financing</t>
  </si>
  <si>
    <t>Loan Repayments</t>
  </si>
  <si>
    <t>Interest Charged</t>
  </si>
  <si>
    <t>Capital Repayments</t>
  </si>
  <si>
    <t>Diff %</t>
  </si>
  <si>
    <t>Total Expenses</t>
  </si>
  <si>
    <t>Year-to-Date</t>
  </si>
  <si>
    <t>© www.excel-skills.com</t>
  </si>
  <si>
    <t>Business Name</t>
  </si>
  <si>
    <t>Cash Flow Forecast - Assumptions</t>
  </si>
  <si>
    <t>Forecast - Income Statement</t>
  </si>
  <si>
    <t>Depreciation</t>
  </si>
  <si>
    <t>Profit / (Loss) for the year</t>
  </si>
  <si>
    <t>Profit / (Loss) before Interest &amp; Tax</t>
  </si>
  <si>
    <t>Management Report - Forecast vs Actual</t>
  </si>
  <si>
    <t>Number</t>
  </si>
  <si>
    <t>Forecast - Cash Flow Statement</t>
  </si>
  <si>
    <t>Cash flows from operating activities</t>
  </si>
  <si>
    <t>Adjustment for non-cash expenses:</t>
  </si>
  <si>
    <t>Changes in operating assets &amp; liabilities</t>
  </si>
  <si>
    <t>Receivables</t>
  </si>
  <si>
    <t>Payables</t>
  </si>
  <si>
    <t>Cash generated from operations</t>
  </si>
  <si>
    <t>Interest paid</t>
  </si>
  <si>
    <t>Taxation paid</t>
  </si>
  <si>
    <t>Net cash from operating activities</t>
  </si>
  <si>
    <t>Cash flows from investing activities</t>
  </si>
  <si>
    <t>Purchases of property, plant &amp; equipment</t>
  </si>
  <si>
    <t>Net cash used in investing activities</t>
  </si>
  <si>
    <t>Cash flows from financing activities</t>
  </si>
  <si>
    <t>Proceeds from shareholders' contributions</t>
  </si>
  <si>
    <t>Proceeds from loans</t>
  </si>
  <si>
    <t>Repayment of loans</t>
  </si>
  <si>
    <t>Net cash from financing activities</t>
  </si>
  <si>
    <t>Increase / (Decrease) in cash equivalents</t>
  </si>
  <si>
    <t>Cash &amp; cash equivalents at beginning of year</t>
  </si>
  <si>
    <t>Cash &amp; cash equivalents at end of year</t>
  </si>
  <si>
    <t>Actual Results - Income Statement</t>
  </si>
  <si>
    <t>Actual Results - Cash Flow Statement</t>
  </si>
  <si>
    <t>Forecast - Balance Sheet</t>
  </si>
  <si>
    <t>Actual Results - Balance Sheet</t>
  </si>
  <si>
    <t>actual balance sheet control total</t>
  </si>
  <si>
    <t>Forecast - Loan Repayment Schedule</t>
  </si>
  <si>
    <t>Income Statement</t>
  </si>
  <si>
    <t>Cash Flow Statement</t>
  </si>
  <si>
    <t>Report Period</t>
  </si>
  <si>
    <t>report balance control</t>
  </si>
  <si>
    <t>Monthly turnover forecasts need to be entered on the Forecast worksheet.</t>
  </si>
  <si>
    <t>Monthly gross profit percentages need to be entered on the Forecast worksheet.</t>
  </si>
  <si>
    <t>Monthly expense projections need to be entered on the Forecast worksheet.</t>
  </si>
  <si>
    <t>Example Trading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</si>
</sst>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%_);_(* \(#,##0.0%\);_(* &quot;-&quot;_);_(@_)"/>
    <numFmt numFmtId="168" formatCode="_(* #,##0.0_);_(* \(#,##0.0\);_(* &quot;-&quot;??_);_(@_)"/>
    <numFmt numFmtId="169" formatCode="mmm\-yyyy"/>
  </numFmts>
  <fonts count="1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i/>
      <sz val="9.5"/>
      <color indexed="8"/>
      <name val="Arial"/>
      <family val="2"/>
    </font>
    <font>
      <i/>
      <sz val="9.5"/>
      <name val="Arial"/>
      <family val="2"/>
    </font>
    <font>
      <sz val="9.5"/>
      <color indexed="8"/>
      <name val="Arial"/>
      <family val="2"/>
    </font>
    <font>
      <sz val="9.5"/>
      <color indexed="12"/>
      <name val="Arial"/>
      <family val="2"/>
    </font>
    <font>
      <sz val="9.5"/>
      <color indexed="9"/>
      <name val="Arial"/>
      <family val="2"/>
    </font>
    <font>
      <b/>
      <sz val="9.5"/>
      <color indexed="9"/>
      <name val="Arial"/>
      <family val="2"/>
    </font>
    <font>
      <sz val="9.5"/>
      <color indexed="53"/>
      <name val="Arial"/>
      <family val="2"/>
    </font>
    <font>
      <b/>
      <sz val="9.5"/>
      <color indexed="8"/>
      <name val="Arial"/>
      <family val="2"/>
    </font>
    <font>
      <sz val="9.5"/>
      <color indexed="17"/>
      <name val="Arial"/>
      <family val="2"/>
    </font>
    <font>
      <b/>
      <u/>
      <sz val="9.5"/>
      <color indexed="12"/>
      <name val="Arial"/>
      <family val="2"/>
    </font>
    <font>
      <b/>
      <u/>
      <sz val="9.5"/>
      <color indexed="17"/>
      <name val="Arial"/>
      <family val="2"/>
    </font>
    <font>
      <sz val="9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22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4" fillId="0" borderId="0" xfId="0" applyNumberFormat="1" applyFont="1" applyProtection="1">
      <protection hidden="1"/>
    </xf>
    <xf numFmtId="0" fontId="8" fillId="0" borderId="0" xfId="0" applyNumberFormat="1" applyFont="1" applyFill="1" applyBorder="1" applyProtection="1">
      <protection hidden="1"/>
    </xf>
    <xf numFmtId="0" fontId="5" fillId="0" borderId="0" xfId="0" applyNumberFormat="1" applyFont="1" applyProtection="1">
      <protection hidden="1"/>
    </xf>
    <xf numFmtId="166" fontId="5" fillId="0" borderId="2" xfId="1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9" fillId="0" borderId="0" xfId="0" applyNumberFormat="1" applyFont="1" applyProtection="1">
      <protection hidden="1"/>
    </xf>
    <xf numFmtId="166" fontId="9" fillId="0" borderId="2" xfId="1" applyNumberFormat="1" applyFont="1" applyBorder="1" applyProtection="1">
      <protection hidden="1"/>
    </xf>
    <xf numFmtId="0" fontId="9" fillId="0" borderId="0" xfId="0" applyFont="1" applyProtection="1">
      <protection hidden="1"/>
    </xf>
    <xf numFmtId="0" fontId="5" fillId="0" borderId="2" xfId="0" applyFont="1" applyBorder="1" applyProtection="1">
      <protection hidden="1"/>
    </xf>
    <xf numFmtId="0" fontId="8" fillId="0" borderId="0" xfId="0" applyFont="1" applyProtection="1">
      <protection hidden="1"/>
    </xf>
    <xf numFmtId="0" fontId="8" fillId="0" borderId="0" xfId="0" applyNumberFormat="1" applyFont="1" applyProtection="1">
      <protection hidden="1"/>
    </xf>
    <xf numFmtId="166" fontId="8" fillId="0" borderId="0" xfId="1" applyNumberFormat="1" applyFont="1" applyProtection="1">
      <protection hidden="1"/>
    </xf>
    <xf numFmtId="0" fontId="5" fillId="2" borderId="1" xfId="0" applyFont="1" applyFill="1" applyBorder="1" applyProtection="1">
      <protection hidden="1"/>
    </xf>
    <xf numFmtId="166" fontId="5" fillId="3" borderId="3" xfId="1" applyNumberFormat="1" applyFont="1" applyFill="1" applyBorder="1" applyProtection="1">
      <protection hidden="1"/>
    </xf>
    <xf numFmtId="0" fontId="10" fillId="0" borderId="0" xfId="0" applyFont="1" applyProtection="1">
      <protection hidden="1"/>
    </xf>
    <xf numFmtId="166" fontId="6" fillId="0" borderId="0" xfId="1" applyNumberFormat="1" applyFont="1" applyProtection="1">
      <protection hidden="1"/>
    </xf>
    <xf numFmtId="165" fontId="7" fillId="0" borderId="0" xfId="3" applyNumberFormat="1" applyFont="1" applyProtection="1">
      <protection hidden="1"/>
    </xf>
    <xf numFmtId="165" fontId="7" fillId="0" borderId="0" xfId="3" applyNumberFormat="1" applyFont="1" applyAlignment="1" applyProtection="1">
      <alignment horizontal="center"/>
      <protection hidden="1"/>
    </xf>
    <xf numFmtId="165" fontId="7" fillId="0" borderId="4" xfId="3" applyNumberFormat="1" applyFont="1" applyBorder="1" applyProtection="1">
      <protection hidden="1"/>
    </xf>
    <xf numFmtId="165" fontId="7" fillId="0" borderId="0" xfId="3" applyNumberFormat="1" applyFont="1" applyBorder="1" applyProtection="1">
      <protection hidden="1"/>
    </xf>
    <xf numFmtId="167" fontId="7" fillId="0" borderId="5" xfId="3" applyNumberFormat="1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6" fontId="5" fillId="0" borderId="4" xfId="1" applyNumberFormat="1" applyFont="1" applyBorder="1" applyProtection="1">
      <protection hidden="1"/>
    </xf>
    <xf numFmtId="166" fontId="5" fillId="0" borderId="6" xfId="1" applyNumberFormat="1" applyFont="1" applyBorder="1" applyProtection="1">
      <protection hidden="1"/>
    </xf>
    <xf numFmtId="166" fontId="5" fillId="0" borderId="7" xfId="1" applyNumberFormat="1" applyFont="1" applyBorder="1" applyProtection="1">
      <protection hidden="1"/>
    </xf>
    <xf numFmtId="0" fontId="5" fillId="0" borderId="0" xfId="1" applyNumberFormat="1" applyFont="1" applyProtection="1">
      <protection hidden="1"/>
    </xf>
    <xf numFmtId="0" fontId="5" fillId="0" borderId="0" xfId="1" applyNumberFormat="1" applyFont="1" applyAlignment="1" applyProtection="1">
      <alignment horizontal="center"/>
      <protection hidden="1"/>
    </xf>
    <xf numFmtId="166" fontId="5" fillId="0" borderId="0" xfId="1" applyNumberFormat="1" applyFont="1" applyBorder="1" applyProtection="1">
      <protection hidden="1"/>
    </xf>
    <xf numFmtId="166" fontId="5" fillId="0" borderId="0" xfId="1" applyNumberFormat="1" applyFont="1" applyProtection="1">
      <protection hidden="1"/>
    </xf>
    <xf numFmtId="167" fontId="5" fillId="0" borderId="5" xfId="3" applyNumberFormat="1" applyFont="1" applyBorder="1" applyProtection="1">
      <protection hidden="1"/>
    </xf>
    <xf numFmtId="169" fontId="4" fillId="0" borderId="0" xfId="0" applyNumberFormat="1" applyFont="1" applyAlignment="1">
      <alignment horizontal="left"/>
    </xf>
    <xf numFmtId="0" fontId="5" fillId="0" borderId="0" xfId="0" applyFont="1" applyBorder="1" applyProtection="1">
      <protection hidden="1"/>
    </xf>
    <xf numFmtId="166" fontId="7" fillId="2" borderId="1" xfId="1" applyNumberFormat="1" applyFont="1" applyFill="1" applyBorder="1" applyProtection="1">
      <protection hidden="1"/>
    </xf>
    <xf numFmtId="165" fontId="7" fillId="0" borderId="2" xfId="3" applyNumberFormat="1" applyFont="1" applyFill="1" applyBorder="1" applyProtection="1">
      <protection hidden="1"/>
    </xf>
    <xf numFmtId="165" fontId="7" fillId="0" borderId="2" xfId="3" applyNumberFormat="1" applyFont="1" applyBorder="1" applyProtection="1">
      <protection hidden="1"/>
    </xf>
    <xf numFmtId="166" fontId="6" fillId="2" borderId="1" xfId="1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64" fontId="5" fillId="0" borderId="0" xfId="1" applyFont="1" applyProtection="1">
      <protection hidden="1"/>
    </xf>
    <xf numFmtId="165" fontId="5" fillId="0" borderId="0" xfId="1" applyNumberFormat="1" applyFont="1" applyFill="1" applyBorder="1" applyAlignment="1" applyProtection="1">
      <alignment horizontal="center"/>
      <protection hidden="1"/>
    </xf>
    <xf numFmtId="166" fontId="5" fillId="2" borderId="8" xfId="1" applyNumberFormat="1" applyFont="1" applyFill="1" applyBorder="1" applyProtection="1">
      <protection hidden="1"/>
    </xf>
    <xf numFmtId="0" fontId="5" fillId="0" borderId="0" xfId="0" applyNumberFormat="1" applyFont="1" applyFill="1" applyBorder="1" applyProtection="1">
      <protection hidden="1"/>
    </xf>
    <xf numFmtId="165" fontId="5" fillId="2" borderId="8" xfId="3" applyNumberFormat="1" applyFont="1" applyFill="1" applyBorder="1" applyProtection="1">
      <protection hidden="1"/>
    </xf>
    <xf numFmtId="0" fontId="6" fillId="0" borderId="0" xfId="0" applyNumberFormat="1" applyFont="1" applyProtection="1">
      <protection hidden="1"/>
    </xf>
    <xf numFmtId="0" fontId="11" fillId="0" borderId="0" xfId="0" applyNumberFormat="1" applyFont="1" applyProtection="1">
      <protection hidden="1"/>
    </xf>
    <xf numFmtId="164" fontId="6" fillId="0" borderId="0" xfId="1" applyFont="1" applyAlignment="1" applyProtection="1">
      <alignment horizontal="center"/>
      <protection hidden="1"/>
    </xf>
    <xf numFmtId="164" fontId="6" fillId="0" borderId="0" xfId="1" applyFont="1" applyProtection="1">
      <protection hidden="1"/>
    </xf>
    <xf numFmtId="0" fontId="6" fillId="0" borderId="0" xfId="0" applyFont="1" applyProtection="1">
      <protection hidden="1"/>
    </xf>
    <xf numFmtId="168" fontId="5" fillId="2" borderId="8" xfId="1" applyNumberFormat="1" applyFont="1" applyFill="1" applyBorder="1" applyProtection="1">
      <protection hidden="1"/>
    </xf>
    <xf numFmtId="166" fontId="5" fillId="2" borderId="8" xfId="1" applyNumberFormat="1" applyFont="1" applyFill="1" applyBorder="1" applyAlignment="1" applyProtection="1">
      <alignment horizontal="right"/>
      <protection hidden="1"/>
    </xf>
    <xf numFmtId="14" fontId="5" fillId="2" borderId="9" xfId="1" applyNumberFormat="1" applyFont="1" applyFill="1" applyBorder="1" applyAlignment="1" applyProtection="1">
      <alignment horizontal="center"/>
      <protection hidden="1"/>
    </xf>
    <xf numFmtId="169" fontId="5" fillId="0" borderId="0" xfId="0" applyNumberFormat="1" applyFont="1" applyAlignment="1" applyProtection="1">
      <alignment vertical="center" wrapText="1"/>
      <protection hidden="1"/>
    </xf>
    <xf numFmtId="169" fontId="5" fillId="3" borderId="8" xfId="0" applyNumberFormat="1" applyFont="1" applyFill="1" applyBorder="1" applyAlignment="1" applyProtection="1">
      <alignment vertical="center" wrapText="1"/>
      <protection hidden="1"/>
    </xf>
    <xf numFmtId="169" fontId="6" fillId="3" borderId="8" xfId="1" applyNumberFormat="1" applyFont="1" applyFill="1" applyBorder="1" applyAlignment="1" applyProtection="1">
      <alignment horizontal="center" vertical="center" wrapText="1"/>
      <protection hidden="1"/>
    </xf>
    <xf numFmtId="169" fontId="12" fillId="4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Protection="1">
      <protection hidden="1"/>
    </xf>
    <xf numFmtId="166" fontId="6" fillId="0" borderId="10" xfId="1" applyNumberFormat="1" applyFont="1" applyFill="1" applyBorder="1" applyProtection="1">
      <protection hidden="1"/>
    </xf>
    <xf numFmtId="166" fontId="6" fillId="0" borderId="10" xfId="1" applyNumberFormat="1" applyFont="1" applyBorder="1" applyProtection="1">
      <protection hidden="1"/>
    </xf>
    <xf numFmtId="166" fontId="6" fillId="0" borderId="2" xfId="1" applyNumberFormat="1" applyFont="1" applyBorder="1" applyProtection="1">
      <protection hidden="1"/>
    </xf>
    <xf numFmtId="166" fontId="6" fillId="0" borderId="11" xfId="1" applyNumberFormat="1" applyFont="1" applyBorder="1" applyProtection="1">
      <protection hidden="1"/>
    </xf>
    <xf numFmtId="166" fontId="6" fillId="0" borderId="12" xfId="1" applyNumberFormat="1" applyFont="1" applyBorder="1" applyProtection="1">
      <protection hidden="1"/>
    </xf>
    <xf numFmtId="0" fontId="10" fillId="0" borderId="0" xfId="0" applyNumberFormat="1" applyFont="1" applyProtection="1">
      <protection hidden="1"/>
    </xf>
    <xf numFmtId="166" fontId="6" fillId="0" borderId="7" xfId="1" applyNumberFormat="1" applyFont="1" applyBorder="1" applyProtection="1">
      <protection hidden="1"/>
    </xf>
    <xf numFmtId="0" fontId="6" fillId="0" borderId="0" xfId="0" applyNumberFormat="1" applyFont="1" applyFill="1" applyAlignment="1" applyProtection="1">
      <alignment horizontal="center"/>
      <protection hidden="1"/>
    </xf>
    <xf numFmtId="0" fontId="6" fillId="0" borderId="0" xfId="0" applyNumberFormat="1" applyFont="1" applyAlignment="1" applyProtection="1">
      <alignment horizontal="left" vertical="center"/>
      <protection hidden="1"/>
    </xf>
    <xf numFmtId="169" fontId="6" fillId="5" borderId="8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Alignment="1" applyProtection="1">
      <alignment horizontal="left"/>
      <protection hidden="1"/>
    </xf>
    <xf numFmtId="0" fontId="8" fillId="0" borderId="0" xfId="0" applyNumberFormat="1" applyFont="1" applyFill="1" applyAlignment="1" applyProtection="1">
      <alignment horizontal="center"/>
      <protection hidden="1"/>
    </xf>
    <xf numFmtId="167" fontId="5" fillId="0" borderId="0" xfId="3" applyNumberFormat="1" applyFont="1" applyProtection="1">
      <protection hidden="1"/>
    </xf>
    <xf numFmtId="167" fontId="13" fillId="0" borderId="0" xfId="3" applyNumberFormat="1" applyFont="1" applyAlignment="1" applyProtection="1">
      <alignment horizontal="center"/>
      <protection hidden="1"/>
    </xf>
    <xf numFmtId="0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166" fontId="6" fillId="3" borderId="13" xfId="1" applyNumberFormat="1" applyFont="1" applyFill="1" applyBorder="1" applyAlignment="1" applyProtection="1">
      <alignment horizontal="center" vertical="center" wrapText="1"/>
      <protection hidden="1"/>
    </xf>
    <xf numFmtId="166" fontId="6" fillId="3" borderId="8" xfId="1" applyNumberFormat="1" applyFont="1" applyFill="1" applyBorder="1" applyAlignment="1" applyProtection="1">
      <alignment horizontal="center" vertical="center" wrapText="1"/>
      <protection hidden="1"/>
    </xf>
    <xf numFmtId="167" fontId="6" fillId="3" borderId="8" xfId="3" applyNumberFormat="1" applyFont="1" applyFill="1" applyBorder="1" applyAlignment="1" applyProtection="1">
      <alignment horizontal="center" vertical="center" wrapText="1"/>
      <protection hidden="1"/>
    </xf>
    <xf numFmtId="169" fontId="6" fillId="3" borderId="13" xfId="1" applyNumberFormat="1" applyFont="1" applyFill="1" applyBorder="1" applyAlignment="1" applyProtection="1">
      <alignment horizontal="center" vertical="center" wrapText="1"/>
      <protection hidden="1"/>
    </xf>
    <xf numFmtId="169" fontId="6" fillId="0" borderId="0" xfId="0" applyNumberFormat="1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166" fontId="6" fillId="0" borderId="14" xfId="1" applyNumberFormat="1" applyFont="1" applyBorder="1" applyProtection="1">
      <protection hidden="1"/>
    </xf>
    <xf numFmtId="166" fontId="6" fillId="0" borderId="15" xfId="1" applyNumberFormat="1" applyFont="1" applyBorder="1" applyProtection="1">
      <protection hidden="1"/>
    </xf>
    <xf numFmtId="167" fontId="6" fillId="0" borderId="16" xfId="3" applyNumberFormat="1" applyFont="1" applyBorder="1" applyProtection="1">
      <protection hidden="1"/>
    </xf>
    <xf numFmtId="166" fontId="6" fillId="0" borderId="4" xfId="1" applyNumberFormat="1" applyFont="1" applyBorder="1" applyProtection="1">
      <protection hidden="1"/>
    </xf>
    <xf numFmtId="166" fontId="6" fillId="0" borderId="0" xfId="1" applyNumberFormat="1" applyFont="1" applyBorder="1" applyProtection="1">
      <protection hidden="1"/>
    </xf>
    <xf numFmtId="167" fontId="6" fillId="0" borderId="5" xfId="3" applyNumberFormat="1" applyFont="1" applyBorder="1" applyProtection="1">
      <protection hidden="1"/>
    </xf>
    <xf numFmtId="0" fontId="9" fillId="0" borderId="0" xfId="1" applyNumberFormat="1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166" fontId="9" fillId="0" borderId="4" xfId="1" applyNumberFormat="1" applyFont="1" applyBorder="1" applyProtection="1">
      <protection hidden="1"/>
    </xf>
    <xf numFmtId="166" fontId="9" fillId="0" borderId="0" xfId="1" applyNumberFormat="1" applyFont="1" applyBorder="1" applyProtection="1">
      <protection hidden="1"/>
    </xf>
    <xf numFmtId="166" fontId="9" fillId="0" borderId="0" xfId="1" applyNumberFormat="1" applyFont="1" applyProtection="1">
      <protection hidden="1"/>
    </xf>
    <xf numFmtId="167" fontId="9" fillId="0" borderId="5" xfId="3" applyNumberFormat="1" applyFont="1" applyBorder="1" applyProtection="1">
      <protection hidden="1"/>
    </xf>
    <xf numFmtId="0" fontId="5" fillId="0" borderId="0" xfId="1" applyNumberFormat="1" applyFont="1" applyBorder="1" applyProtection="1">
      <protection hidden="1"/>
    </xf>
    <xf numFmtId="164" fontId="5" fillId="0" borderId="0" xfId="1" applyFont="1" applyBorder="1" applyAlignment="1" applyProtection="1">
      <alignment horizontal="center"/>
      <protection hidden="1"/>
    </xf>
    <xf numFmtId="0" fontId="6" fillId="0" borderId="0" xfId="0" applyNumberFormat="1" applyFont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Protection="1">
      <protection hidden="1"/>
    </xf>
    <xf numFmtId="0" fontId="6" fillId="0" borderId="0" xfId="0" applyNumberFormat="1" applyFont="1" applyFill="1" applyProtection="1">
      <protection hidden="1"/>
    </xf>
    <xf numFmtId="0" fontId="8" fillId="0" borderId="0" xfId="1" applyNumberFormat="1" applyFont="1" applyProtection="1">
      <protection hidden="1"/>
    </xf>
    <xf numFmtId="0" fontId="6" fillId="0" borderId="0" xfId="1" applyNumberFormat="1" applyFont="1" applyAlignment="1" applyProtection="1">
      <alignment horizontal="center"/>
      <protection hidden="1"/>
    </xf>
    <xf numFmtId="0" fontId="5" fillId="0" borderId="17" xfId="0" applyNumberFormat="1" applyFont="1" applyBorder="1" applyProtection="1">
      <protection hidden="1"/>
    </xf>
    <xf numFmtId="0" fontId="5" fillId="0" borderId="17" xfId="0" applyFont="1" applyBorder="1" applyAlignment="1" applyProtection="1">
      <alignment horizontal="center"/>
      <protection hidden="1"/>
    </xf>
    <xf numFmtId="166" fontId="5" fillId="0" borderId="18" xfId="1" applyNumberFormat="1" applyFont="1" applyBorder="1" applyProtection="1">
      <protection hidden="1"/>
    </xf>
    <xf numFmtId="166" fontId="5" fillId="0" borderId="17" xfId="1" applyNumberFormat="1" applyFont="1" applyBorder="1" applyProtection="1">
      <protection hidden="1"/>
    </xf>
    <xf numFmtId="167" fontId="5" fillId="0" borderId="19" xfId="3" applyNumberFormat="1" applyFont="1" applyBorder="1" applyProtection="1">
      <protection hidden="1"/>
    </xf>
    <xf numFmtId="0" fontId="15" fillId="0" borderId="0" xfId="0" applyNumberFormat="1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6" fontId="15" fillId="0" borderId="0" xfId="1" applyNumberFormat="1" applyFont="1" applyAlignment="1" applyProtection="1">
      <alignment horizontal="center"/>
      <protection hidden="1"/>
    </xf>
    <xf numFmtId="167" fontId="15" fillId="0" borderId="0" xfId="3" applyNumberFormat="1" applyFont="1" applyProtection="1">
      <protection hidden="1"/>
    </xf>
    <xf numFmtId="0" fontId="15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166" fontId="10" fillId="0" borderId="0" xfId="1" applyNumberFormat="1" applyFont="1" applyAlignment="1" applyProtection="1">
      <alignment horizontal="center"/>
      <protection hidden="1"/>
    </xf>
    <xf numFmtId="167" fontId="10" fillId="0" borderId="0" xfId="3" applyNumberFormat="1" applyFont="1" applyProtection="1">
      <protection hidden="1"/>
    </xf>
    <xf numFmtId="169" fontId="6" fillId="0" borderId="0" xfId="0" applyNumberFormat="1" applyFont="1" applyAlignment="1">
      <alignment horizontal="left"/>
    </xf>
    <xf numFmtId="0" fontId="5" fillId="0" borderId="0" xfId="0" applyFont="1"/>
    <xf numFmtId="169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166" fontId="6" fillId="0" borderId="20" xfId="1" applyNumberFormat="1" applyFont="1" applyBorder="1" applyProtection="1">
      <protection hidden="1"/>
    </xf>
    <xf numFmtId="166" fontId="8" fillId="0" borderId="11" xfId="1" applyNumberFormat="1" applyFont="1" applyBorder="1" applyProtection="1">
      <protection hidden="1"/>
    </xf>
    <xf numFmtId="166" fontId="8" fillId="0" borderId="10" xfId="1" applyNumberFormat="1" applyFont="1" applyBorder="1" applyProtection="1">
      <protection hidden="1"/>
    </xf>
    <xf numFmtId="0" fontId="16" fillId="0" borderId="0" xfId="2" applyFont="1" applyAlignment="1" applyProtection="1">
      <alignment horizontal="right"/>
      <protection hidden="1"/>
    </xf>
    <xf numFmtId="0" fontId="6" fillId="3" borderId="8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" fillId="0" borderId="10" xfId="0" applyFont="1" applyBorder="1" applyProtection="1">
      <protection hidden="1"/>
    </xf>
    <xf numFmtId="166" fontId="10" fillId="0" borderId="0" xfId="1" applyNumberFormat="1" applyFont="1" applyProtection="1">
      <protection hidden="1"/>
    </xf>
    <xf numFmtId="0" fontId="5" fillId="0" borderId="0" xfId="0" applyFont="1" applyFill="1" applyProtection="1">
      <protection hidden="1"/>
    </xf>
    <xf numFmtId="166" fontId="5" fillId="0" borderId="3" xfId="1" applyNumberFormat="1" applyFont="1" applyBorder="1" applyProtection="1">
      <protection hidden="1"/>
    </xf>
    <xf numFmtId="166" fontId="5" fillId="3" borderId="21" xfId="1" applyNumberFormat="1" applyFont="1" applyFill="1" applyBorder="1" applyProtection="1">
      <protection hidden="1"/>
    </xf>
    <xf numFmtId="166" fontId="6" fillId="0" borderId="22" xfId="1" applyNumberFormat="1" applyFont="1" applyBorder="1" applyProtection="1">
      <protection hidden="1"/>
    </xf>
    <xf numFmtId="166" fontId="5" fillId="0" borderId="0" xfId="1" applyNumberFormat="1" applyFont="1" applyFill="1" applyProtection="1">
      <protection hidden="1"/>
    </xf>
    <xf numFmtId="0" fontId="17" fillId="0" borderId="0" xfId="2" applyFont="1" applyAlignment="1" applyProtection="1">
      <alignment horizontal="right"/>
      <protection hidden="1"/>
    </xf>
    <xf numFmtId="169" fontId="9" fillId="0" borderId="0" xfId="0" applyNumberFormat="1" applyFont="1" applyProtection="1">
      <protection hidden="1"/>
    </xf>
    <xf numFmtId="165" fontId="5" fillId="0" borderId="0" xfId="3" applyNumberFormat="1" applyFont="1" applyFill="1" applyBorder="1" applyProtection="1">
      <protection hidden="1"/>
    </xf>
    <xf numFmtId="169" fontId="9" fillId="0" borderId="0" xfId="0" applyNumberFormat="1" applyFont="1" applyFill="1" applyBorder="1" applyProtection="1">
      <protection hidden="1"/>
    </xf>
    <xf numFmtId="168" fontId="5" fillId="3" borderId="8" xfId="1" applyNumberFormat="1" applyFont="1" applyFill="1" applyBorder="1" applyProtection="1">
      <protection hidden="1"/>
    </xf>
    <xf numFmtId="168" fontId="5" fillId="0" borderId="0" xfId="1" applyNumberFormat="1" applyFont="1" applyFill="1" applyBorder="1" applyProtection="1">
      <protection hidden="1"/>
    </xf>
    <xf numFmtId="168" fontId="5" fillId="3" borderId="8" xfId="1" applyNumberFormat="1" applyFont="1" applyFill="1" applyBorder="1" applyAlignment="1" applyProtection="1">
      <alignment horizontal="right"/>
      <protection hidden="1"/>
    </xf>
    <xf numFmtId="168" fontId="5" fillId="0" borderId="0" xfId="1" applyNumberFormat="1" applyFont="1" applyFill="1" applyBorder="1" applyAlignment="1" applyProtection="1">
      <alignment horizontal="right"/>
      <protection hidden="1"/>
    </xf>
    <xf numFmtId="169" fontId="14" fillId="3" borderId="8" xfId="0" applyNumberFormat="1" applyFont="1" applyFill="1" applyBorder="1" applyAlignment="1" applyProtection="1">
      <alignment vertical="center" wrapText="1"/>
      <protection hidden="1"/>
    </xf>
    <xf numFmtId="169" fontId="9" fillId="0" borderId="0" xfId="0" applyNumberFormat="1" applyFont="1" applyAlignment="1" applyProtection="1">
      <alignment horizontal="left"/>
      <protection hidden="1"/>
    </xf>
    <xf numFmtId="166" fontId="5" fillId="0" borderId="0" xfId="1" applyNumberFormat="1" applyFont="1" applyFill="1" applyBorder="1" applyAlignment="1" applyProtection="1">
      <alignment horizontal="right"/>
      <protection hidden="1"/>
    </xf>
    <xf numFmtId="166" fontId="9" fillId="0" borderId="0" xfId="1" applyNumberFormat="1" applyFont="1" applyAlignment="1" applyProtection="1">
      <alignment horizontal="right"/>
      <protection hidden="1"/>
    </xf>
    <xf numFmtId="166" fontId="5" fillId="0" borderId="2" xfId="0" applyNumberFormat="1" applyFont="1" applyBorder="1" applyProtection="1">
      <protection hidden="1"/>
    </xf>
    <xf numFmtId="166" fontId="8" fillId="0" borderId="0" xfId="1" applyNumberFormat="1" applyFont="1" applyFill="1" applyProtection="1">
      <protection hidden="1"/>
    </xf>
    <xf numFmtId="0" fontId="5" fillId="0" borderId="0" xfId="3" applyNumberFormat="1" applyFont="1" applyAlignment="1" applyProtection="1">
      <alignment horizontal="left" indent="1"/>
      <protection hidden="1"/>
    </xf>
    <xf numFmtId="0" fontId="5" fillId="0" borderId="0" xfId="0" applyNumberFormat="1" applyFont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167" fontId="5" fillId="0" borderId="0" xfId="3" applyNumberFormat="1" applyFont="1" applyBorder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166" fontId="7" fillId="0" borderId="14" xfId="1" applyNumberFormat="1" applyFont="1" applyBorder="1" applyProtection="1">
      <protection hidden="1"/>
    </xf>
    <xf numFmtId="166" fontId="7" fillId="0" borderId="15" xfId="1" applyNumberFormat="1" applyFont="1" applyBorder="1" applyProtection="1">
      <protection hidden="1"/>
    </xf>
    <xf numFmtId="166" fontId="8" fillId="0" borderId="15" xfId="1" applyNumberFormat="1" applyFont="1" applyBorder="1" applyProtection="1">
      <protection hidden="1"/>
    </xf>
    <xf numFmtId="167" fontId="8" fillId="0" borderId="16" xfId="3" applyNumberFormat="1" applyFont="1" applyBorder="1" applyProtection="1">
      <protection hidden="1"/>
    </xf>
    <xf numFmtId="166" fontId="7" fillId="0" borderId="23" xfId="1" applyNumberFormat="1" applyFont="1" applyBorder="1" applyProtection="1">
      <protection hidden="1"/>
    </xf>
    <xf numFmtId="166" fontId="7" fillId="0" borderId="24" xfId="1" applyNumberFormat="1" applyFont="1" applyBorder="1" applyProtection="1">
      <protection hidden="1"/>
    </xf>
    <xf numFmtId="166" fontId="8" fillId="0" borderId="24" xfId="1" applyNumberFormat="1" applyFont="1" applyBorder="1" applyProtection="1">
      <protection hidden="1"/>
    </xf>
    <xf numFmtId="167" fontId="8" fillId="0" borderId="13" xfId="3" applyNumberFormat="1" applyFont="1" applyBorder="1" applyProtection="1">
      <protection hidden="1"/>
    </xf>
    <xf numFmtId="167" fontId="7" fillId="0" borderId="0" xfId="3" applyNumberFormat="1" applyFont="1" applyBorder="1" applyProtection="1">
      <protection hidden="1"/>
    </xf>
    <xf numFmtId="166" fontId="14" fillId="0" borderId="4" xfId="1" applyNumberFormat="1" applyFont="1" applyBorder="1" applyProtection="1">
      <protection hidden="1"/>
    </xf>
    <xf numFmtId="166" fontId="14" fillId="0" borderId="0" xfId="1" applyNumberFormat="1" applyFont="1" applyBorder="1" applyProtection="1">
      <protection hidden="1"/>
    </xf>
    <xf numFmtId="166" fontId="8" fillId="0" borderId="23" xfId="1" applyNumberFormat="1" applyFont="1" applyBorder="1" applyProtection="1">
      <protection hidden="1"/>
    </xf>
    <xf numFmtId="0" fontId="9" fillId="0" borderId="0" xfId="0" applyNumberFormat="1" applyFont="1" applyAlignment="1" applyProtection="1">
      <alignment horizontal="center"/>
      <protection hidden="1"/>
    </xf>
    <xf numFmtId="166" fontId="6" fillId="0" borderId="25" xfId="1" applyNumberFormat="1" applyFont="1" applyBorder="1" applyProtection="1">
      <protection hidden="1"/>
    </xf>
    <xf numFmtId="166" fontId="6" fillId="0" borderId="26" xfId="1" applyNumberFormat="1" applyFont="1" applyBorder="1" applyProtection="1">
      <protection hidden="1"/>
    </xf>
    <xf numFmtId="167" fontId="6" fillId="0" borderId="27" xfId="3" applyNumberFormat="1" applyFont="1" applyBorder="1" applyProtection="1">
      <protection hidden="1"/>
    </xf>
    <xf numFmtId="164" fontId="5" fillId="0" borderId="0" xfId="1" applyFont="1" applyBorder="1" applyProtection="1">
      <protection hidden="1"/>
    </xf>
    <xf numFmtId="166" fontId="5" fillId="0" borderId="0" xfId="0" applyNumberFormat="1" applyFont="1" applyProtection="1">
      <protection hidden="1"/>
    </xf>
    <xf numFmtId="0" fontId="18" fillId="0" borderId="0" xfId="0" applyNumberFormat="1" applyFont="1" applyAlignment="1" applyProtection="1">
      <alignment vertical="center"/>
      <protection hidden="1"/>
    </xf>
    <xf numFmtId="10" fontId="5" fillId="2" borderId="8" xfId="3" applyNumberFormat="1" applyFont="1" applyFill="1" applyBorder="1" applyProtection="1">
      <protection hidden="1"/>
    </xf>
    <xf numFmtId="10" fontId="5" fillId="3" borderId="8" xfId="3" applyNumberFormat="1" applyFont="1" applyFill="1" applyBorder="1" applyProtection="1">
      <protection hidden="1"/>
    </xf>
    <xf numFmtId="166" fontId="5" fillId="5" borderId="23" xfId="1" applyNumberFormat="1" applyFont="1" applyFill="1" applyBorder="1" applyAlignment="1" applyProtection="1">
      <alignment horizontal="left"/>
      <protection hidden="1"/>
    </xf>
    <xf numFmtId="166" fontId="5" fillId="5" borderId="24" xfId="1" applyNumberFormat="1" applyFont="1" applyFill="1" applyBorder="1" applyAlignment="1" applyProtection="1">
      <alignment horizontal="left"/>
      <protection hidden="1"/>
    </xf>
    <xf numFmtId="166" fontId="5" fillId="5" borderId="13" xfId="1" applyNumberFormat="1" applyFont="1" applyFill="1" applyBorder="1" applyAlignment="1" applyProtection="1">
      <alignment horizontal="left"/>
      <protection hidden="1"/>
    </xf>
    <xf numFmtId="169" fontId="6" fillId="3" borderId="23" xfId="0" applyNumberFormat="1" applyFont="1" applyFill="1" applyBorder="1" applyAlignment="1" applyProtection="1">
      <alignment horizontal="left" vertical="center"/>
      <protection hidden="1"/>
    </xf>
    <xf numFmtId="169" fontId="6" fillId="3" borderId="13" xfId="0" applyNumberFormat="1" applyFont="1" applyFill="1" applyBorder="1" applyAlignment="1" applyProtection="1">
      <alignment horizontal="left" vertical="center"/>
      <protection hidden="1"/>
    </xf>
    <xf numFmtId="166" fontId="6" fillId="3" borderId="23" xfId="1" applyNumberFormat="1" applyFont="1" applyFill="1" applyBorder="1" applyAlignment="1" applyProtection="1">
      <alignment horizontal="center" vertical="center"/>
      <protection hidden="1"/>
    </xf>
    <xf numFmtId="166" fontId="6" fillId="3" borderId="24" xfId="1" applyNumberFormat="1" applyFont="1" applyFill="1" applyBorder="1" applyAlignment="1" applyProtection="1">
      <alignment horizontal="center" vertical="center"/>
      <protection hidden="1"/>
    </xf>
    <xf numFmtId="166" fontId="6" fillId="3" borderId="13" xfId="1" applyNumberFormat="1" applyFont="1" applyFill="1" applyBorder="1" applyAlignment="1" applyProtection="1">
      <alignment horizontal="center" vertical="center"/>
      <protection hidden="1"/>
    </xf>
    <xf numFmtId="164" fontId="6" fillId="3" borderId="23" xfId="1" applyFont="1" applyFill="1" applyBorder="1" applyAlignment="1" applyProtection="1">
      <alignment horizontal="center" vertical="center"/>
      <protection hidden="1"/>
    </xf>
    <xf numFmtId="164" fontId="6" fillId="3" borderId="24" xfId="1" applyFont="1" applyFill="1" applyBorder="1" applyAlignment="1" applyProtection="1">
      <alignment horizontal="center" vertical="center"/>
      <protection hidden="1"/>
    </xf>
    <xf numFmtId="164" fontId="6" fillId="3" borderId="13" xfId="1" applyFont="1" applyFill="1" applyBorder="1" applyAlignment="1" applyProtection="1">
      <alignment horizontal="center" vertical="center"/>
      <protection hidden="1"/>
    </xf>
    <xf numFmtId="166" fontId="7" fillId="0" borderId="0" xfId="1" applyNumberFormat="1" applyFont="1" applyAlignment="1" applyProtection="1">
      <alignment horizontal="center"/>
      <protection hidden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5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color theme="0"/>
      </font>
      <fill>
        <patternFill>
          <bgColor rgb="FFFF66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rgb="FFFF6600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50</xdr:col>
      <xdr:colOff>190494</xdr:colOff>
      <xdr:row>3</xdr:row>
      <xdr:rowOff>60156</xdr:rowOff>
    </xdr:from>
    <xdr:to>
      <xdr:col>50</xdr:col>
      <xdr:colOff>262494</xdr:colOff>
      <xdr:row>3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1940073" y="64168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51</xdr:col>
      <xdr:colOff>110286</xdr:colOff>
      <xdr:row>3</xdr:row>
      <xdr:rowOff>60156</xdr:rowOff>
    </xdr:from>
    <xdr:to>
      <xdr:col>51</xdr:col>
      <xdr:colOff>182286</xdr:colOff>
      <xdr:row>3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2471470" y="64168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50</xdr:col>
      <xdr:colOff>220572</xdr:colOff>
      <xdr:row>3</xdr:row>
      <xdr:rowOff>80208</xdr:rowOff>
    </xdr:from>
    <xdr:to>
      <xdr:col>50</xdr:col>
      <xdr:colOff>292572</xdr:colOff>
      <xdr:row>3</xdr:row>
      <xdr:rowOff>152208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3203388" y="661734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150390</xdr:colOff>
      <xdr:row>7</xdr:row>
      <xdr:rowOff>80208</xdr:rowOff>
    </xdr:from>
    <xdr:to>
      <xdr:col>29</xdr:col>
      <xdr:colOff>222390</xdr:colOff>
      <xdr:row>7</xdr:row>
      <xdr:rowOff>152208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25867890" y="1423734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26</xdr:col>
      <xdr:colOff>100260</xdr:colOff>
      <xdr:row>3</xdr:row>
      <xdr:rowOff>70182</xdr:rowOff>
    </xdr:from>
    <xdr:to>
      <xdr:col>26</xdr:col>
      <xdr:colOff>172260</xdr:colOff>
      <xdr:row>3</xdr:row>
      <xdr:rowOff>142182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0704339" y="691814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zoomScale="95" workbookViewId="0">
      <pane ySplit="3" topLeftCell="A4" activePane="bottomLeft" state="frozen"/>
      <selection pane="bottomLeft" activeCell="B4" sqref="B4:D4"/>
    </sheetView>
  </sheetViews>
  <sheetFormatPr defaultColWidth="9.1328125" defaultRowHeight="15" customHeight="1" x14ac:dyDescent="0.3"/>
  <cols>
    <col min="1" max="1" width="45.3984375" style="3" bestFit="1" customWidth="1"/>
    <col min="2" max="2" width="15.73046875" style="29" customWidth="1"/>
    <col min="3" max="8" width="15.73046875" style="38" customWidth="1"/>
    <col min="9" max="14" width="15.73046875" style="5" customWidth="1"/>
    <col min="15" max="16384" width="9.1328125" style="5"/>
  </cols>
  <sheetData>
    <row r="1" spans="1:8" x14ac:dyDescent="0.4">
      <c r="A1" s="1" t="str">
        <f>$B$4</f>
        <v>Example Trading Limited</v>
      </c>
      <c r="B1" s="16"/>
    </row>
    <row r="2" spans="1:8" ht="15" customHeight="1" x14ac:dyDescent="0.35">
      <c r="A2" s="11" t="s">
        <v>78</v>
      </c>
      <c r="B2" s="16"/>
    </row>
    <row r="3" spans="1:8" ht="15" customHeight="1" x14ac:dyDescent="0.3">
      <c r="A3" s="44" t="s">
        <v>76</v>
      </c>
    </row>
    <row r="4" spans="1:8" ht="15" customHeight="1" x14ac:dyDescent="0.35">
      <c r="A4" s="43" t="s">
        <v>77</v>
      </c>
      <c r="B4" s="171" t="s">
        <v>119</v>
      </c>
      <c r="C4" s="172"/>
      <c r="D4" s="173"/>
    </row>
    <row r="5" spans="1:8" s="47" customFormat="1" ht="15" customHeight="1" x14ac:dyDescent="0.35">
      <c r="A5" s="43" t="s">
        <v>53</v>
      </c>
      <c r="B5" s="50">
        <v>42430</v>
      </c>
      <c r="C5" s="45"/>
      <c r="D5" s="45"/>
      <c r="E5" s="45"/>
      <c r="F5" s="46"/>
      <c r="G5" s="46"/>
      <c r="H5" s="46"/>
    </row>
    <row r="6" spans="1:8" s="47" customFormat="1" ht="15" customHeight="1" x14ac:dyDescent="0.35">
      <c r="A6" s="43" t="s">
        <v>0</v>
      </c>
      <c r="B6" s="16"/>
      <c r="C6" s="45"/>
      <c r="D6" s="45"/>
      <c r="E6" s="45"/>
      <c r="F6" s="46"/>
      <c r="G6" s="46"/>
      <c r="H6" s="46"/>
    </row>
    <row r="7" spans="1:8" ht="15" customHeight="1" x14ac:dyDescent="0.3">
      <c r="A7" s="3" t="s">
        <v>116</v>
      </c>
      <c r="C7" s="37"/>
    </row>
    <row r="8" spans="1:8" ht="15" customHeight="1" x14ac:dyDescent="0.35">
      <c r="A8" s="43" t="s">
        <v>3</v>
      </c>
      <c r="B8" s="16"/>
    </row>
    <row r="9" spans="1:8" ht="15" customHeight="1" x14ac:dyDescent="0.3">
      <c r="A9" s="3" t="s">
        <v>117</v>
      </c>
      <c r="C9" s="39"/>
      <c r="D9" s="39"/>
      <c r="E9" s="39"/>
    </row>
    <row r="10" spans="1:8" ht="15" customHeight="1" x14ac:dyDescent="0.35">
      <c r="A10" s="43" t="s">
        <v>64</v>
      </c>
      <c r="B10" s="16"/>
    </row>
    <row r="11" spans="1:8" ht="15" customHeight="1" x14ac:dyDescent="0.3">
      <c r="A11" s="3" t="s">
        <v>118</v>
      </c>
      <c r="C11" s="37"/>
    </row>
    <row r="12" spans="1:8" ht="15" customHeight="1" x14ac:dyDescent="0.35">
      <c r="A12" s="43" t="s">
        <v>30</v>
      </c>
      <c r="B12" s="16"/>
    </row>
    <row r="13" spans="1:8" ht="15" customHeight="1" x14ac:dyDescent="0.3">
      <c r="A13" s="3" t="s">
        <v>33</v>
      </c>
      <c r="B13" s="40">
        <v>25</v>
      </c>
      <c r="D13" s="37"/>
      <c r="E13" s="37"/>
    </row>
    <row r="14" spans="1:8" ht="15" customHeight="1" x14ac:dyDescent="0.3">
      <c r="A14" s="3" t="s">
        <v>31</v>
      </c>
      <c r="B14" s="40">
        <v>30</v>
      </c>
      <c r="D14" s="37"/>
      <c r="E14" s="37"/>
    </row>
    <row r="15" spans="1:8" ht="15" customHeight="1" x14ac:dyDescent="0.3">
      <c r="A15" s="3" t="s">
        <v>32</v>
      </c>
      <c r="B15" s="40">
        <v>15</v>
      </c>
      <c r="D15" s="37"/>
      <c r="E15" s="37"/>
    </row>
    <row r="16" spans="1:8" ht="15" customHeight="1" x14ac:dyDescent="0.35">
      <c r="A16" s="43" t="s">
        <v>44</v>
      </c>
      <c r="C16" s="37"/>
      <c r="D16" s="37"/>
      <c r="E16" s="37"/>
    </row>
    <row r="17" spans="1:5" ht="15" customHeight="1" x14ac:dyDescent="0.3">
      <c r="A17" s="3" t="s">
        <v>65</v>
      </c>
      <c r="B17" s="40">
        <v>800000</v>
      </c>
      <c r="C17" s="37" t="str">
        <f>IF(SUM(B17:B25)&lt;&gt;0,"The total of the start-up balances should be nil!","")</f>
        <v/>
      </c>
      <c r="D17" s="37"/>
      <c r="E17" s="37"/>
    </row>
    <row r="18" spans="1:5" ht="15" customHeight="1" x14ac:dyDescent="0.3">
      <c r="A18" s="3" t="s">
        <v>27</v>
      </c>
      <c r="B18" s="40">
        <v>140000</v>
      </c>
      <c r="C18" s="37"/>
      <c r="D18" s="37"/>
      <c r="E18" s="37"/>
    </row>
    <row r="19" spans="1:5" ht="15" customHeight="1" x14ac:dyDescent="0.3">
      <c r="A19" s="3" t="s">
        <v>28</v>
      </c>
      <c r="B19" s="40">
        <v>250000</v>
      </c>
      <c r="C19" s="37"/>
      <c r="D19" s="37"/>
      <c r="E19" s="37"/>
    </row>
    <row r="20" spans="1:5" ht="15" customHeight="1" x14ac:dyDescent="0.3">
      <c r="A20" s="3" t="s">
        <v>39</v>
      </c>
      <c r="B20" s="40">
        <v>21000</v>
      </c>
      <c r="C20" s="37"/>
      <c r="D20" s="37"/>
      <c r="E20" s="37"/>
    </row>
    <row r="21" spans="1:5" ht="15" customHeight="1" x14ac:dyDescent="0.3">
      <c r="A21" s="41" t="s">
        <v>66</v>
      </c>
      <c r="B21" s="40">
        <v>-1000</v>
      </c>
      <c r="C21" s="37"/>
      <c r="D21" s="37"/>
      <c r="E21" s="37"/>
    </row>
    <row r="22" spans="1:5" ht="15" customHeight="1" x14ac:dyDescent="0.3">
      <c r="A22" s="41" t="s">
        <v>41</v>
      </c>
      <c r="B22" s="40">
        <v>0</v>
      </c>
      <c r="C22" s="37"/>
      <c r="D22" s="37"/>
      <c r="E22" s="37"/>
    </row>
    <row r="23" spans="1:5" ht="15" customHeight="1" x14ac:dyDescent="0.3">
      <c r="A23" s="3" t="s">
        <v>45</v>
      </c>
      <c r="B23" s="40">
        <v>-1100000</v>
      </c>
      <c r="C23" s="37" t="str">
        <f>IF($B$23&gt;0,"The long term loans start-up balance should be entered as a negative value!","")</f>
        <v/>
      </c>
      <c r="D23" s="37"/>
      <c r="E23" s="37"/>
    </row>
    <row r="24" spans="1:5" ht="15" customHeight="1" x14ac:dyDescent="0.3">
      <c r="A24" s="3" t="s">
        <v>29</v>
      </c>
      <c r="B24" s="40">
        <v>-110000</v>
      </c>
      <c r="C24" s="37"/>
      <c r="D24" s="37"/>
      <c r="E24" s="37"/>
    </row>
    <row r="25" spans="1:5" ht="15" customHeight="1" x14ac:dyDescent="0.3">
      <c r="A25" s="3" t="s">
        <v>56</v>
      </c>
      <c r="B25" s="40">
        <v>0</v>
      </c>
      <c r="C25" s="37"/>
      <c r="D25" s="37"/>
      <c r="E25" s="37"/>
    </row>
    <row r="26" spans="1:5" ht="15" customHeight="1" x14ac:dyDescent="0.35">
      <c r="A26" s="43" t="s">
        <v>67</v>
      </c>
      <c r="B26" s="37"/>
      <c r="C26" s="37"/>
      <c r="D26" s="37"/>
      <c r="E26" s="37"/>
    </row>
    <row r="27" spans="1:5" ht="15" customHeight="1" x14ac:dyDescent="0.3">
      <c r="A27" s="41" t="s">
        <v>35</v>
      </c>
      <c r="B27" s="169">
        <v>0.105</v>
      </c>
      <c r="C27" s="37"/>
      <c r="D27" s="37"/>
      <c r="E27" s="37"/>
    </row>
    <row r="28" spans="1:5" ht="15" customHeight="1" x14ac:dyDescent="0.3">
      <c r="A28" s="41" t="s">
        <v>47</v>
      </c>
      <c r="B28" s="48">
        <v>5</v>
      </c>
      <c r="C28" s="37"/>
      <c r="D28" s="37"/>
      <c r="E28" s="37"/>
    </row>
    <row r="29" spans="1:5" ht="15" customHeight="1" x14ac:dyDescent="0.3">
      <c r="A29" s="41" t="s">
        <v>48</v>
      </c>
      <c r="B29" s="49" t="s">
        <v>49</v>
      </c>
      <c r="C29" s="37"/>
      <c r="D29" s="37"/>
      <c r="E29" s="37"/>
    </row>
    <row r="30" spans="1:5" ht="15" customHeight="1" x14ac:dyDescent="0.35">
      <c r="A30" s="43" t="s">
        <v>43</v>
      </c>
      <c r="B30" s="16"/>
    </row>
    <row r="31" spans="1:5" ht="15" customHeight="1" x14ac:dyDescent="0.3">
      <c r="A31" s="3" t="s">
        <v>34</v>
      </c>
      <c r="B31" s="42">
        <v>0.28000000000000003</v>
      </c>
    </row>
    <row r="32" spans="1:5" ht="15" customHeight="1" x14ac:dyDescent="0.35">
      <c r="A32" s="2" t="s">
        <v>68</v>
      </c>
    </row>
  </sheetData>
  <mergeCells count="1">
    <mergeCell ref="B4:D4"/>
  </mergeCells>
  <phoneticPr fontId="3" type="noConversion"/>
  <conditionalFormatting sqref="B17:B25">
    <cfRule type="expression" dxfId="4" priority="1" stopIfTrue="1">
      <formula>SUM($B$17:$B$25)&lt;&gt;0</formula>
    </cfRule>
  </conditionalFormatting>
  <conditionalFormatting sqref="B23">
    <cfRule type="cellIs" dxfId="3" priority="2" stopIfTrue="1" operator="greaterThan">
      <formula>0</formula>
    </cfRule>
  </conditionalFormatting>
  <dataValidations count="6">
    <dataValidation type="list" allowBlank="1" showInputMessage="1" showErrorMessage="1" errorTitle="Invalid Data" error="Select a valid item from the list box." sqref="B29" xr:uid="{00000000-0002-0000-0100-000000000000}">
      <formula1>"Yes,No"</formula1>
    </dataValidation>
    <dataValidation type="whole" allowBlank="1" showInputMessage="1" showErrorMessage="1" errorTitle="Invalid Repayment Term" error="The repayment term must be greater than 1 year and less than 10 years. If the forecast includes no long term loans, leave the default repayment term unchanged - it will have no effect on the cash flow calculations." sqref="B28" xr:uid="{00000000-0002-0000-0100-000001000000}">
      <formula1>1</formula1>
      <formula2>10</formula2>
    </dataValidation>
    <dataValidation operator="lessThan" allowBlank="1" showInputMessage="1" showErrorMessage="1" errorTitle="Invalid Input" error="The estimated Creditors balances should be entered as a negative value." sqref="D15:E15 B15" xr:uid="{00000000-0002-0000-0100-000002000000}"/>
    <dataValidation type="decimal" allowBlank="1" showInputMessage="1" showErrorMessage="1" errorTitle="Invalid Input" error="Please enter the value as a percentage - should therefore be a value between 0 and 1." sqref="C9:E9" xr:uid="{00000000-0002-0000-0100-000003000000}">
      <formula1>0</formula1>
      <formula2>1</formula2>
    </dataValidation>
    <dataValidation type="date" operator="greaterThan" allowBlank="1" showInputMessage="1" showErrorMessage="1" errorTitle="Invalid Date" error="The start date should be entered in accordance with the regional date settings that are specified in the System Control Panel." sqref="B5" xr:uid="{00000000-0002-0000-0100-000004000000}">
      <formula1>36526</formula1>
    </dataValidation>
    <dataValidation type="decimal" allowBlank="1" showInputMessage="1" showErrorMessage="1" errorTitle="Invalid Data" error="Enter a percentage between 0% and 100%." sqref="B27 B31" xr:uid="{00000000-0002-0000-0100-000005000000}">
      <formula1>0</formula1>
      <formula2>1</formula2>
    </dataValidation>
  </dataValidations>
  <pageMargins left="0.55118110236220474" right="0.55118110236220474" top="0.59055118110236227" bottom="0.59055118110236227" header="0.39370078740157483" footer="0.39370078740157483"/>
  <pageSetup paperSize="9" orientation="portrait" r:id="rId1"/>
  <headerFooter alignWithMargins="0">
    <oddFooter>&amp;C&amp;9Page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09"/>
  <sheetViews>
    <sheetView zoomScale="95" zoomScaleNormal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defaultColWidth="9.1328125" defaultRowHeight="15" customHeight="1" x14ac:dyDescent="0.3"/>
  <cols>
    <col min="1" max="1" width="3.73046875" style="5" customWidth="1"/>
    <col min="2" max="2" width="38.73046875" style="3" customWidth="1"/>
    <col min="3" max="6" width="12.73046875" style="29" customWidth="1"/>
    <col min="7" max="14" width="12.73046875" style="5" customWidth="1"/>
    <col min="15" max="15" width="13.73046875" style="5" customWidth="1"/>
    <col min="16" max="27" width="12.73046875" style="5" customWidth="1"/>
    <col min="28" max="28" width="13.73046875" style="5" customWidth="1"/>
    <col min="29" max="40" width="12.73046875" style="5" customWidth="1"/>
    <col min="41" max="41" width="13.73046875" style="5" customWidth="1"/>
    <col min="42" max="16384" width="9.1328125" style="5"/>
  </cols>
  <sheetData>
    <row r="1" spans="1:41" x14ac:dyDescent="0.4">
      <c r="B1" s="1" t="str">
        <f>Assumptions!$B$4</f>
        <v>Example Trading Limited</v>
      </c>
    </row>
    <row r="2" spans="1:41" ht="15" customHeight="1" x14ac:dyDescent="0.35">
      <c r="B2" s="11" t="s">
        <v>79</v>
      </c>
    </row>
    <row r="3" spans="1:41" ht="15" customHeight="1" x14ac:dyDescent="0.3">
      <c r="B3" s="44" t="s">
        <v>76</v>
      </c>
    </row>
    <row r="4" spans="1:41" s="51" customFormat="1" ht="18" customHeight="1" x14ac:dyDescent="0.35">
      <c r="B4" s="52"/>
      <c r="C4" s="53">
        <f ca="1">IF(ISBLANK(Assumptions!$B$5)=TRUE,DATE(YEAR(TODAY()),MONTH(TODAY())+1,0),DATE(YEAR(Assumptions!$B$5),MONTH(Assumptions!$B$5)+1,0))</f>
        <v>42460</v>
      </c>
      <c r="D4" s="53">
        <f ca="1">DATE(YEAR(C4),MONTH(C4)+2,0)</f>
        <v>42490</v>
      </c>
      <c r="E4" s="53">
        <f t="shared" ref="E4:M4" ca="1" si="0">DATE(YEAR(D4),MONTH(D4)+2,0)</f>
        <v>42521</v>
      </c>
      <c r="F4" s="53">
        <f t="shared" ca="1" si="0"/>
        <v>42551</v>
      </c>
      <c r="G4" s="53">
        <f t="shared" ca="1" si="0"/>
        <v>42582</v>
      </c>
      <c r="H4" s="53">
        <f t="shared" ca="1" si="0"/>
        <v>42613</v>
      </c>
      <c r="I4" s="53">
        <f t="shared" ca="1" si="0"/>
        <v>42643</v>
      </c>
      <c r="J4" s="53">
        <f t="shared" ca="1" si="0"/>
        <v>42674</v>
      </c>
      <c r="K4" s="53">
        <f t="shared" ca="1" si="0"/>
        <v>42704</v>
      </c>
      <c r="L4" s="53">
        <f t="shared" ca="1" si="0"/>
        <v>42735</v>
      </c>
      <c r="M4" s="53">
        <f t="shared" ca="1" si="0"/>
        <v>42766</v>
      </c>
      <c r="N4" s="53">
        <f ca="1">DATE(YEAR(M4),MONTH(M4)+2,0)</f>
        <v>42794</v>
      </c>
      <c r="O4" s="54" t="str">
        <f ca="1">"Year "&amp;YEAR(N4)</f>
        <v>Year 2017</v>
      </c>
      <c r="P4" s="53">
        <f ca="1">DATE(YEAR(N4),MONTH(N4)+2,0)</f>
        <v>42825</v>
      </c>
      <c r="Q4" s="53">
        <f t="shared" ref="Q4:AA4" ca="1" si="1">DATE(YEAR(P4),MONTH(P4)+2,0)</f>
        <v>42855</v>
      </c>
      <c r="R4" s="53">
        <f t="shared" ca="1" si="1"/>
        <v>42886</v>
      </c>
      <c r="S4" s="53">
        <f t="shared" ca="1" si="1"/>
        <v>42916</v>
      </c>
      <c r="T4" s="53">
        <f t="shared" ca="1" si="1"/>
        <v>42947</v>
      </c>
      <c r="U4" s="53">
        <f t="shared" ca="1" si="1"/>
        <v>42978</v>
      </c>
      <c r="V4" s="53">
        <f t="shared" ca="1" si="1"/>
        <v>43008</v>
      </c>
      <c r="W4" s="53">
        <f t="shared" ca="1" si="1"/>
        <v>43039</v>
      </c>
      <c r="X4" s="53">
        <f t="shared" ca="1" si="1"/>
        <v>43069</v>
      </c>
      <c r="Y4" s="53">
        <f t="shared" ca="1" si="1"/>
        <v>43100</v>
      </c>
      <c r="Z4" s="53">
        <f t="shared" ca="1" si="1"/>
        <v>43131</v>
      </c>
      <c r="AA4" s="53">
        <f t="shared" ca="1" si="1"/>
        <v>43159</v>
      </c>
      <c r="AB4" s="54" t="str">
        <f ca="1">"Year "&amp;YEAR(AA4)</f>
        <v>Year 2018</v>
      </c>
      <c r="AC4" s="53">
        <f ca="1">DATE(YEAR(AA4),MONTH(AA4)+2,0)</f>
        <v>43190</v>
      </c>
      <c r="AD4" s="53">
        <f t="shared" ref="AD4:AN4" ca="1" si="2">DATE(YEAR(AC4),MONTH(AC4)+2,0)</f>
        <v>43220</v>
      </c>
      <c r="AE4" s="53">
        <f t="shared" ca="1" si="2"/>
        <v>43251</v>
      </c>
      <c r="AF4" s="53">
        <f t="shared" ca="1" si="2"/>
        <v>43281</v>
      </c>
      <c r="AG4" s="53">
        <f t="shared" ca="1" si="2"/>
        <v>43312</v>
      </c>
      <c r="AH4" s="53">
        <f t="shared" ca="1" si="2"/>
        <v>43343</v>
      </c>
      <c r="AI4" s="53">
        <f t="shared" ca="1" si="2"/>
        <v>43373</v>
      </c>
      <c r="AJ4" s="53">
        <f t="shared" ca="1" si="2"/>
        <v>43404</v>
      </c>
      <c r="AK4" s="53">
        <f t="shared" ca="1" si="2"/>
        <v>43434</v>
      </c>
      <c r="AL4" s="53">
        <f t="shared" ca="1" si="2"/>
        <v>43465</v>
      </c>
      <c r="AM4" s="53">
        <f t="shared" ca="1" si="2"/>
        <v>43496</v>
      </c>
      <c r="AN4" s="53">
        <f t="shared" ca="1" si="2"/>
        <v>43524</v>
      </c>
      <c r="AO4" s="54" t="str">
        <f ca="1">"Year "&amp;YEAR(AN4)</f>
        <v>Year 2019</v>
      </c>
    </row>
    <row r="5" spans="1:41" s="16" customFormat="1" ht="15" customHeight="1" x14ac:dyDescent="0.35">
      <c r="A5" s="36"/>
      <c r="B5" s="55" t="s">
        <v>0</v>
      </c>
      <c r="C5" s="56">
        <v>300000</v>
      </c>
      <c r="D5" s="57">
        <v>340000</v>
      </c>
      <c r="E5" s="57">
        <v>320000</v>
      </c>
      <c r="F5" s="57">
        <v>321000</v>
      </c>
      <c r="G5" s="57">
        <v>305000</v>
      </c>
      <c r="H5" s="57">
        <v>320000</v>
      </c>
      <c r="I5" s="57">
        <v>315000</v>
      </c>
      <c r="J5" s="57">
        <v>300000</v>
      </c>
      <c r="K5" s="57">
        <v>320000</v>
      </c>
      <c r="L5" s="57">
        <v>330000</v>
      </c>
      <c r="M5" s="57">
        <v>328000</v>
      </c>
      <c r="N5" s="57">
        <v>310000</v>
      </c>
      <c r="O5" s="57">
        <f>SUM(C5:N5)</f>
        <v>3809000</v>
      </c>
      <c r="P5" s="57">
        <v>350000</v>
      </c>
      <c r="Q5" s="57">
        <v>320000</v>
      </c>
      <c r="R5" s="57">
        <v>345000</v>
      </c>
      <c r="S5" s="57">
        <v>354000</v>
      </c>
      <c r="T5" s="57">
        <v>347000</v>
      </c>
      <c r="U5" s="57">
        <v>310000</v>
      </c>
      <c r="V5" s="57">
        <v>315000</v>
      </c>
      <c r="W5" s="57">
        <v>350000</v>
      </c>
      <c r="X5" s="57">
        <v>338000</v>
      </c>
      <c r="Y5" s="57">
        <v>362000</v>
      </c>
      <c r="Z5" s="57">
        <v>357000</v>
      </c>
      <c r="AA5" s="57">
        <v>353000</v>
      </c>
      <c r="AB5" s="57">
        <f>SUM(P5:AA5)</f>
        <v>4101000</v>
      </c>
      <c r="AC5" s="57">
        <v>362000</v>
      </c>
      <c r="AD5" s="57">
        <v>368000</v>
      </c>
      <c r="AE5" s="57">
        <v>349000</v>
      </c>
      <c r="AF5" s="57">
        <v>370000</v>
      </c>
      <c r="AG5" s="57">
        <v>364000</v>
      </c>
      <c r="AH5" s="57">
        <v>381000</v>
      </c>
      <c r="AI5" s="57">
        <v>389000</v>
      </c>
      <c r="AJ5" s="57">
        <v>372000</v>
      </c>
      <c r="AK5" s="57">
        <v>380000</v>
      </c>
      <c r="AL5" s="57">
        <v>385000</v>
      </c>
      <c r="AM5" s="57">
        <v>374000</v>
      </c>
      <c r="AN5" s="57">
        <v>390000</v>
      </c>
      <c r="AO5" s="57">
        <f>SUM(AC5:AN5)</f>
        <v>4484000</v>
      </c>
    </row>
    <row r="6" spans="1:41" s="29" customFormat="1" ht="15" customHeight="1" x14ac:dyDescent="0.3">
      <c r="B6" s="2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s="16" customFormat="1" ht="15" customHeight="1" x14ac:dyDescent="0.35">
      <c r="B7" s="55" t="s">
        <v>1</v>
      </c>
      <c r="C7" s="58">
        <f t="shared" ref="C7:N7" si="3">SUM(C5,-C9)</f>
        <v>195000</v>
      </c>
      <c r="D7" s="58">
        <f t="shared" si="3"/>
        <v>217600</v>
      </c>
      <c r="E7" s="58">
        <f t="shared" si="3"/>
        <v>208000</v>
      </c>
      <c r="F7" s="58">
        <f t="shared" si="3"/>
        <v>205440</v>
      </c>
      <c r="G7" s="58">
        <f t="shared" si="3"/>
        <v>192150</v>
      </c>
      <c r="H7" s="58">
        <f t="shared" si="3"/>
        <v>201600</v>
      </c>
      <c r="I7" s="58">
        <f t="shared" si="3"/>
        <v>198450</v>
      </c>
      <c r="J7" s="58">
        <f t="shared" si="3"/>
        <v>189000</v>
      </c>
      <c r="K7" s="58">
        <f t="shared" si="3"/>
        <v>201600</v>
      </c>
      <c r="L7" s="58">
        <f t="shared" si="3"/>
        <v>207900</v>
      </c>
      <c r="M7" s="58">
        <f t="shared" si="3"/>
        <v>206640</v>
      </c>
      <c r="N7" s="58">
        <f t="shared" si="3"/>
        <v>195300</v>
      </c>
      <c r="O7" s="58">
        <f>SUM(C7:N7)</f>
        <v>2418680</v>
      </c>
      <c r="P7" s="58">
        <f t="shared" ref="P7:AA7" si="4">SUM(P5,-P9)</f>
        <v>220500</v>
      </c>
      <c r="Q7" s="58">
        <f t="shared" si="4"/>
        <v>201600</v>
      </c>
      <c r="R7" s="58">
        <f t="shared" si="4"/>
        <v>217350</v>
      </c>
      <c r="S7" s="58">
        <f t="shared" si="4"/>
        <v>223020</v>
      </c>
      <c r="T7" s="58">
        <f t="shared" si="4"/>
        <v>218610</v>
      </c>
      <c r="U7" s="58">
        <f t="shared" si="4"/>
        <v>192200</v>
      </c>
      <c r="V7" s="58">
        <f t="shared" si="4"/>
        <v>195300</v>
      </c>
      <c r="W7" s="58">
        <f t="shared" si="4"/>
        <v>217000</v>
      </c>
      <c r="X7" s="58">
        <f t="shared" si="4"/>
        <v>209560</v>
      </c>
      <c r="Y7" s="58">
        <f t="shared" si="4"/>
        <v>224440</v>
      </c>
      <c r="Z7" s="58">
        <f t="shared" si="4"/>
        <v>221340</v>
      </c>
      <c r="AA7" s="58">
        <f t="shared" si="4"/>
        <v>215330</v>
      </c>
      <c r="AB7" s="58">
        <f>SUM(P7:AA7)</f>
        <v>2556250</v>
      </c>
      <c r="AC7" s="58">
        <f t="shared" ref="AC7:AN7" si="5">SUM(AC5,-AC9)</f>
        <v>217200</v>
      </c>
      <c r="AD7" s="58">
        <f t="shared" si="5"/>
        <v>220800</v>
      </c>
      <c r="AE7" s="58">
        <f t="shared" si="5"/>
        <v>209400</v>
      </c>
      <c r="AF7" s="58">
        <f t="shared" si="5"/>
        <v>222000</v>
      </c>
      <c r="AG7" s="58">
        <f t="shared" si="5"/>
        <v>218400</v>
      </c>
      <c r="AH7" s="58">
        <f t="shared" si="5"/>
        <v>228600</v>
      </c>
      <c r="AI7" s="58">
        <f t="shared" si="5"/>
        <v>233400</v>
      </c>
      <c r="AJ7" s="58">
        <f t="shared" si="5"/>
        <v>223200</v>
      </c>
      <c r="AK7" s="58">
        <f t="shared" si="5"/>
        <v>228000</v>
      </c>
      <c r="AL7" s="58">
        <f t="shared" si="5"/>
        <v>231000</v>
      </c>
      <c r="AM7" s="58">
        <f t="shared" si="5"/>
        <v>224400</v>
      </c>
      <c r="AN7" s="58">
        <f t="shared" si="5"/>
        <v>234000</v>
      </c>
      <c r="AO7" s="58">
        <f>SUM(AC7:AN7)</f>
        <v>2690400</v>
      </c>
    </row>
    <row r="8" spans="1:41" s="29" customFormat="1" ht="15" customHeight="1" x14ac:dyDescent="0.3">
      <c r="B8" s="2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6" customFormat="1" ht="15" customHeight="1" x14ac:dyDescent="0.35">
      <c r="B9" s="55" t="s">
        <v>2</v>
      </c>
      <c r="C9" s="58">
        <f t="shared" ref="C9:N9" si="6">C5*C10</f>
        <v>105000</v>
      </c>
      <c r="D9" s="58">
        <f t="shared" si="6"/>
        <v>122400</v>
      </c>
      <c r="E9" s="58">
        <f t="shared" si="6"/>
        <v>112000</v>
      </c>
      <c r="F9" s="58">
        <f t="shared" si="6"/>
        <v>115560</v>
      </c>
      <c r="G9" s="58">
        <f t="shared" si="6"/>
        <v>112850</v>
      </c>
      <c r="H9" s="58">
        <f t="shared" si="6"/>
        <v>118400</v>
      </c>
      <c r="I9" s="58">
        <f t="shared" si="6"/>
        <v>116550</v>
      </c>
      <c r="J9" s="58">
        <f t="shared" si="6"/>
        <v>111000</v>
      </c>
      <c r="K9" s="58">
        <f t="shared" si="6"/>
        <v>118400</v>
      </c>
      <c r="L9" s="58">
        <f t="shared" si="6"/>
        <v>122100</v>
      </c>
      <c r="M9" s="58">
        <f t="shared" si="6"/>
        <v>121360</v>
      </c>
      <c r="N9" s="58">
        <f t="shared" si="6"/>
        <v>114700</v>
      </c>
      <c r="O9" s="58">
        <f>SUM(C9:N9)</f>
        <v>1390320</v>
      </c>
      <c r="P9" s="58">
        <f t="shared" ref="P9:AA9" si="7">P5*P10</f>
        <v>129500</v>
      </c>
      <c r="Q9" s="58">
        <f t="shared" si="7"/>
        <v>118400</v>
      </c>
      <c r="R9" s="58">
        <f t="shared" si="7"/>
        <v>127650</v>
      </c>
      <c r="S9" s="58">
        <f t="shared" si="7"/>
        <v>130980</v>
      </c>
      <c r="T9" s="58">
        <f t="shared" si="7"/>
        <v>128390</v>
      </c>
      <c r="U9" s="58">
        <f t="shared" si="7"/>
        <v>117800</v>
      </c>
      <c r="V9" s="58">
        <f t="shared" si="7"/>
        <v>119700</v>
      </c>
      <c r="W9" s="58">
        <f t="shared" si="7"/>
        <v>133000</v>
      </c>
      <c r="X9" s="58">
        <f t="shared" si="7"/>
        <v>128440</v>
      </c>
      <c r="Y9" s="58">
        <f t="shared" si="7"/>
        <v>137560</v>
      </c>
      <c r="Z9" s="58">
        <f t="shared" si="7"/>
        <v>135660</v>
      </c>
      <c r="AA9" s="58">
        <f t="shared" si="7"/>
        <v>137670</v>
      </c>
      <c r="AB9" s="58">
        <f>SUM(P9:AA9)</f>
        <v>1544750</v>
      </c>
      <c r="AC9" s="58">
        <f t="shared" ref="AC9:AN9" si="8">AC5*AC10</f>
        <v>144800</v>
      </c>
      <c r="AD9" s="58">
        <f t="shared" si="8"/>
        <v>147200</v>
      </c>
      <c r="AE9" s="58">
        <f t="shared" si="8"/>
        <v>139600</v>
      </c>
      <c r="AF9" s="58">
        <f t="shared" si="8"/>
        <v>148000</v>
      </c>
      <c r="AG9" s="58">
        <f t="shared" si="8"/>
        <v>145600</v>
      </c>
      <c r="AH9" s="58">
        <f t="shared" si="8"/>
        <v>152400</v>
      </c>
      <c r="AI9" s="58">
        <f t="shared" si="8"/>
        <v>155600</v>
      </c>
      <c r="AJ9" s="58">
        <f t="shared" si="8"/>
        <v>148800</v>
      </c>
      <c r="AK9" s="58">
        <f t="shared" si="8"/>
        <v>152000</v>
      </c>
      <c r="AL9" s="58">
        <f t="shared" si="8"/>
        <v>154000</v>
      </c>
      <c r="AM9" s="58">
        <f t="shared" si="8"/>
        <v>149600</v>
      </c>
      <c r="AN9" s="58">
        <f t="shared" si="8"/>
        <v>156000</v>
      </c>
      <c r="AO9" s="58">
        <f>SUM(AC9:AN9)</f>
        <v>1793600</v>
      </c>
    </row>
    <row r="10" spans="1:41" s="20" customFormat="1" ht="15" customHeight="1" x14ac:dyDescent="0.35">
      <c r="A10" s="33"/>
      <c r="B10" s="20" t="s">
        <v>3</v>
      </c>
      <c r="C10" s="34">
        <v>0.35</v>
      </c>
      <c r="D10" s="34">
        <v>0.36</v>
      </c>
      <c r="E10" s="34">
        <v>0.35</v>
      </c>
      <c r="F10" s="35">
        <v>0.36</v>
      </c>
      <c r="G10" s="35">
        <v>0.37</v>
      </c>
      <c r="H10" s="35">
        <v>0.37</v>
      </c>
      <c r="I10" s="35">
        <v>0.37</v>
      </c>
      <c r="J10" s="35">
        <v>0.37</v>
      </c>
      <c r="K10" s="35">
        <v>0.37</v>
      </c>
      <c r="L10" s="35">
        <v>0.37</v>
      </c>
      <c r="M10" s="35">
        <v>0.37</v>
      </c>
      <c r="N10" s="35">
        <v>0.37</v>
      </c>
      <c r="O10" s="35">
        <f>IF(O5=0,0,O9/O5)</f>
        <v>0.36500918876345495</v>
      </c>
      <c r="P10" s="35">
        <v>0.37</v>
      </c>
      <c r="Q10" s="35">
        <v>0.37</v>
      </c>
      <c r="R10" s="35">
        <v>0.37</v>
      </c>
      <c r="S10" s="35">
        <v>0.37</v>
      </c>
      <c r="T10" s="35">
        <v>0.37</v>
      </c>
      <c r="U10" s="35">
        <v>0.38</v>
      </c>
      <c r="V10" s="35">
        <v>0.38</v>
      </c>
      <c r="W10" s="35">
        <v>0.38</v>
      </c>
      <c r="X10" s="35">
        <v>0.38</v>
      </c>
      <c r="Y10" s="35">
        <v>0.38</v>
      </c>
      <c r="Z10" s="35">
        <v>0.38</v>
      </c>
      <c r="AA10" s="35">
        <v>0.39</v>
      </c>
      <c r="AB10" s="35">
        <f>IF(AB5=0,0,AB9/AB5)</f>
        <v>0.37667642038527188</v>
      </c>
      <c r="AC10" s="35">
        <v>0.4</v>
      </c>
      <c r="AD10" s="35">
        <v>0.4</v>
      </c>
      <c r="AE10" s="35">
        <v>0.4</v>
      </c>
      <c r="AF10" s="35">
        <v>0.4</v>
      </c>
      <c r="AG10" s="35">
        <v>0.4</v>
      </c>
      <c r="AH10" s="35">
        <v>0.4</v>
      </c>
      <c r="AI10" s="35">
        <v>0.4</v>
      </c>
      <c r="AJ10" s="35">
        <v>0.4</v>
      </c>
      <c r="AK10" s="35">
        <v>0.4</v>
      </c>
      <c r="AL10" s="35">
        <v>0.4</v>
      </c>
      <c r="AM10" s="35">
        <v>0.4</v>
      </c>
      <c r="AN10" s="35">
        <v>0.4</v>
      </c>
      <c r="AO10" s="35">
        <f>IF(AO5=0,0,AO9/AO5)</f>
        <v>0.4</v>
      </c>
    </row>
    <row r="11" spans="1:41" ht="15" customHeight="1" x14ac:dyDescent="0.3">
      <c r="C11" s="4"/>
      <c r="D11" s="4"/>
      <c r="E11" s="4"/>
      <c r="F11" s="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15" customHeight="1" x14ac:dyDescent="0.35">
      <c r="B12" s="43" t="s">
        <v>64</v>
      </c>
      <c r="C12" s="4"/>
      <c r="D12" s="4"/>
      <c r="E12" s="4"/>
      <c r="F12" s="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29" customFormat="1" ht="15" customHeight="1" x14ac:dyDescent="0.35">
      <c r="A13" s="36"/>
      <c r="B13" s="26" t="s">
        <v>4</v>
      </c>
      <c r="C13" s="4">
        <v>2000</v>
      </c>
      <c r="D13" s="4">
        <v>2000</v>
      </c>
      <c r="E13" s="4">
        <v>2000</v>
      </c>
      <c r="F13" s="4">
        <v>2000</v>
      </c>
      <c r="G13" s="4">
        <v>2000</v>
      </c>
      <c r="H13" s="4">
        <v>2000</v>
      </c>
      <c r="I13" s="4">
        <v>2000</v>
      </c>
      <c r="J13" s="4">
        <v>2000</v>
      </c>
      <c r="K13" s="4">
        <v>2000</v>
      </c>
      <c r="L13" s="4">
        <v>2000</v>
      </c>
      <c r="M13" s="4">
        <v>2000</v>
      </c>
      <c r="N13" s="4">
        <v>2000</v>
      </c>
      <c r="O13" s="58">
        <f t="shared" ref="O13:O35" si="9">SUM(C13:N13)</f>
        <v>24000</v>
      </c>
      <c r="P13" s="4">
        <v>2000</v>
      </c>
      <c r="Q13" s="4">
        <v>2000</v>
      </c>
      <c r="R13" s="4">
        <v>2000</v>
      </c>
      <c r="S13" s="4">
        <v>2000</v>
      </c>
      <c r="T13" s="4">
        <v>2000</v>
      </c>
      <c r="U13" s="4">
        <v>2000</v>
      </c>
      <c r="V13" s="4">
        <v>2000</v>
      </c>
      <c r="W13" s="4">
        <v>2000</v>
      </c>
      <c r="X13" s="4">
        <v>2000</v>
      </c>
      <c r="Y13" s="4">
        <v>2000</v>
      </c>
      <c r="Z13" s="4">
        <v>2000</v>
      </c>
      <c r="AA13" s="4">
        <v>2000</v>
      </c>
      <c r="AB13" s="58">
        <f t="shared" ref="AB13:AB35" si="10">SUM(P13:AA13)</f>
        <v>24000</v>
      </c>
      <c r="AC13" s="4">
        <v>2000</v>
      </c>
      <c r="AD13" s="4">
        <v>2000</v>
      </c>
      <c r="AE13" s="4">
        <v>2000</v>
      </c>
      <c r="AF13" s="4">
        <v>2000</v>
      </c>
      <c r="AG13" s="4">
        <v>2000</v>
      </c>
      <c r="AH13" s="4">
        <v>2000</v>
      </c>
      <c r="AI13" s="4">
        <v>2000</v>
      </c>
      <c r="AJ13" s="4">
        <v>2000</v>
      </c>
      <c r="AK13" s="4">
        <v>2000</v>
      </c>
      <c r="AL13" s="4">
        <v>2000</v>
      </c>
      <c r="AM13" s="4">
        <v>2000</v>
      </c>
      <c r="AN13" s="4">
        <v>2000</v>
      </c>
      <c r="AO13" s="58">
        <f t="shared" ref="AO13:AO35" si="11">SUM(AC13:AN13)</f>
        <v>24000</v>
      </c>
    </row>
    <row r="14" spans="1:41" s="29" customFormat="1" ht="15" customHeight="1" x14ac:dyDescent="0.35">
      <c r="A14" s="36"/>
      <c r="B14" s="26" t="s">
        <v>17</v>
      </c>
      <c r="C14" s="4">
        <v>5000</v>
      </c>
      <c r="D14" s="4">
        <v>5000</v>
      </c>
      <c r="E14" s="4">
        <v>10000</v>
      </c>
      <c r="F14" s="4">
        <v>5000</v>
      </c>
      <c r="G14" s="4">
        <v>5000</v>
      </c>
      <c r="H14" s="4">
        <v>25000</v>
      </c>
      <c r="I14" s="4">
        <v>5000</v>
      </c>
      <c r="J14" s="4">
        <v>5000</v>
      </c>
      <c r="K14" s="4">
        <v>43000</v>
      </c>
      <c r="L14" s="4">
        <v>13000</v>
      </c>
      <c r="M14" s="4">
        <v>5000</v>
      </c>
      <c r="N14" s="4">
        <v>5000</v>
      </c>
      <c r="O14" s="58">
        <f t="shared" si="9"/>
        <v>131000</v>
      </c>
      <c r="P14" s="4">
        <v>5000</v>
      </c>
      <c r="Q14" s="4">
        <v>22000</v>
      </c>
      <c r="R14" s="4">
        <v>5000</v>
      </c>
      <c r="S14" s="4">
        <v>5000</v>
      </c>
      <c r="T14" s="4">
        <v>5000</v>
      </c>
      <c r="U14" s="4">
        <v>39000</v>
      </c>
      <c r="V14" s="4">
        <v>5000</v>
      </c>
      <c r="W14" s="4">
        <v>5000</v>
      </c>
      <c r="X14" s="4">
        <v>5000</v>
      </c>
      <c r="Y14" s="4">
        <v>47000</v>
      </c>
      <c r="Z14" s="4">
        <v>5000</v>
      </c>
      <c r="AA14" s="4">
        <v>5000</v>
      </c>
      <c r="AB14" s="58">
        <f t="shared" si="10"/>
        <v>153000</v>
      </c>
      <c r="AC14" s="4">
        <v>5000</v>
      </c>
      <c r="AD14" s="4">
        <v>54000</v>
      </c>
      <c r="AE14" s="4">
        <v>5000</v>
      </c>
      <c r="AF14" s="4">
        <v>5000</v>
      </c>
      <c r="AG14" s="4">
        <v>65000</v>
      </c>
      <c r="AH14" s="4">
        <v>8000</v>
      </c>
      <c r="AI14" s="4">
        <v>8000</v>
      </c>
      <c r="AJ14" s="4">
        <v>8000</v>
      </c>
      <c r="AK14" s="4">
        <v>32000</v>
      </c>
      <c r="AL14" s="4">
        <v>18000</v>
      </c>
      <c r="AM14" s="4">
        <v>18000</v>
      </c>
      <c r="AN14" s="4">
        <v>18000</v>
      </c>
      <c r="AO14" s="58">
        <f t="shared" si="11"/>
        <v>244000</v>
      </c>
    </row>
    <row r="15" spans="1:41" s="29" customFormat="1" ht="15" customHeight="1" x14ac:dyDescent="0.35">
      <c r="A15" s="36"/>
      <c r="B15" s="26" t="s">
        <v>5</v>
      </c>
      <c r="C15" s="4">
        <v>250</v>
      </c>
      <c r="D15" s="4">
        <v>250</v>
      </c>
      <c r="E15" s="4">
        <v>250</v>
      </c>
      <c r="F15" s="4">
        <v>250</v>
      </c>
      <c r="G15" s="4">
        <v>250</v>
      </c>
      <c r="H15" s="4">
        <v>250</v>
      </c>
      <c r="I15" s="4">
        <v>250</v>
      </c>
      <c r="J15" s="4">
        <v>250</v>
      </c>
      <c r="K15" s="4">
        <v>250</v>
      </c>
      <c r="L15" s="4">
        <v>250</v>
      </c>
      <c r="M15" s="4">
        <v>250</v>
      </c>
      <c r="N15" s="4">
        <v>250</v>
      </c>
      <c r="O15" s="58">
        <f t="shared" si="9"/>
        <v>3000</v>
      </c>
      <c r="P15" s="4">
        <v>500</v>
      </c>
      <c r="Q15" s="4">
        <v>500</v>
      </c>
      <c r="R15" s="4">
        <v>500</v>
      </c>
      <c r="S15" s="4">
        <v>500</v>
      </c>
      <c r="T15" s="4">
        <v>500</v>
      </c>
      <c r="U15" s="4">
        <v>500</v>
      </c>
      <c r="V15" s="4">
        <v>500</v>
      </c>
      <c r="W15" s="4">
        <v>500</v>
      </c>
      <c r="X15" s="4">
        <v>500</v>
      </c>
      <c r="Y15" s="4">
        <v>500</v>
      </c>
      <c r="Z15" s="4">
        <v>500</v>
      </c>
      <c r="AA15" s="4">
        <v>500</v>
      </c>
      <c r="AB15" s="58">
        <f t="shared" si="10"/>
        <v>6000</v>
      </c>
      <c r="AC15" s="4">
        <v>730</v>
      </c>
      <c r="AD15" s="4">
        <v>730</v>
      </c>
      <c r="AE15" s="4">
        <v>730</v>
      </c>
      <c r="AF15" s="4">
        <v>730</v>
      </c>
      <c r="AG15" s="4">
        <v>730</v>
      </c>
      <c r="AH15" s="4">
        <v>730</v>
      </c>
      <c r="AI15" s="4">
        <v>730</v>
      </c>
      <c r="AJ15" s="4">
        <v>730</v>
      </c>
      <c r="AK15" s="4">
        <v>730</v>
      </c>
      <c r="AL15" s="4">
        <v>730</v>
      </c>
      <c r="AM15" s="4">
        <v>730</v>
      </c>
      <c r="AN15" s="4">
        <v>730</v>
      </c>
      <c r="AO15" s="58">
        <f t="shared" si="11"/>
        <v>8760</v>
      </c>
    </row>
    <row r="16" spans="1:41" s="29" customFormat="1" ht="15" customHeight="1" x14ac:dyDescent="0.35">
      <c r="A16" s="36"/>
      <c r="B16" s="26" t="s">
        <v>18</v>
      </c>
      <c r="C16" s="4">
        <v>500</v>
      </c>
      <c r="D16" s="4">
        <v>500</v>
      </c>
      <c r="E16" s="4">
        <v>800</v>
      </c>
      <c r="F16" s="4">
        <v>800</v>
      </c>
      <c r="G16" s="4">
        <v>800</v>
      </c>
      <c r="H16" s="4">
        <v>860</v>
      </c>
      <c r="I16" s="4">
        <v>860</v>
      </c>
      <c r="J16" s="4">
        <v>860</v>
      </c>
      <c r="K16" s="4">
        <v>860</v>
      </c>
      <c r="L16" s="4">
        <v>860</v>
      </c>
      <c r="M16" s="4">
        <v>860</v>
      </c>
      <c r="N16" s="4">
        <v>860</v>
      </c>
      <c r="O16" s="58">
        <f t="shared" si="9"/>
        <v>9420</v>
      </c>
      <c r="P16" s="4">
        <v>920</v>
      </c>
      <c r="Q16" s="4">
        <v>920</v>
      </c>
      <c r="R16" s="4">
        <v>920</v>
      </c>
      <c r="S16" s="4">
        <v>920</v>
      </c>
      <c r="T16" s="4">
        <v>920</v>
      </c>
      <c r="U16" s="4">
        <v>920</v>
      </c>
      <c r="V16" s="4">
        <v>920</v>
      </c>
      <c r="W16" s="4">
        <v>920</v>
      </c>
      <c r="X16" s="4">
        <v>945</v>
      </c>
      <c r="Y16" s="4">
        <v>945</v>
      </c>
      <c r="Z16" s="4">
        <v>945</v>
      </c>
      <c r="AA16" s="4">
        <v>945</v>
      </c>
      <c r="AB16" s="58">
        <f t="shared" si="10"/>
        <v>11140</v>
      </c>
      <c r="AC16" s="4">
        <v>1034</v>
      </c>
      <c r="AD16" s="4">
        <v>1034</v>
      </c>
      <c r="AE16" s="4">
        <v>1034</v>
      </c>
      <c r="AF16" s="4">
        <v>1034</v>
      </c>
      <c r="AG16" s="4">
        <v>1034</v>
      </c>
      <c r="AH16" s="4">
        <v>1034</v>
      </c>
      <c r="AI16" s="4">
        <v>2080</v>
      </c>
      <c r="AJ16" s="4">
        <v>2080</v>
      </c>
      <c r="AK16" s="4">
        <v>2080</v>
      </c>
      <c r="AL16" s="4">
        <v>2080</v>
      </c>
      <c r="AM16" s="4">
        <v>2080</v>
      </c>
      <c r="AN16" s="4">
        <v>2080</v>
      </c>
      <c r="AO16" s="58">
        <f t="shared" si="11"/>
        <v>18684</v>
      </c>
    </row>
    <row r="17" spans="1:41" s="29" customFormat="1" ht="15" customHeight="1" x14ac:dyDescent="0.35">
      <c r="A17" s="36"/>
      <c r="B17" s="26" t="s">
        <v>6</v>
      </c>
      <c r="C17" s="4">
        <v>0</v>
      </c>
      <c r="D17" s="4">
        <v>0</v>
      </c>
      <c r="E17" s="4">
        <v>0</v>
      </c>
      <c r="F17" s="4">
        <v>3800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4200</v>
      </c>
      <c r="O17" s="58">
        <f t="shared" si="9"/>
        <v>8000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1285</v>
      </c>
      <c r="V17" s="4">
        <v>0</v>
      </c>
      <c r="W17" s="4">
        <v>0</v>
      </c>
      <c r="X17" s="4">
        <v>0</v>
      </c>
      <c r="Y17" s="4">
        <v>890</v>
      </c>
      <c r="Z17" s="4">
        <v>0</v>
      </c>
      <c r="AA17" s="4">
        <v>0</v>
      </c>
      <c r="AB17" s="58">
        <f t="shared" si="10"/>
        <v>2175</v>
      </c>
      <c r="AC17" s="4">
        <v>0</v>
      </c>
      <c r="AD17" s="4">
        <v>0</v>
      </c>
      <c r="AE17" s="4">
        <v>854</v>
      </c>
      <c r="AF17" s="4">
        <v>0</v>
      </c>
      <c r="AG17" s="4">
        <v>0</v>
      </c>
      <c r="AH17" s="4">
        <v>0</v>
      </c>
      <c r="AI17" s="4">
        <v>0</v>
      </c>
      <c r="AJ17" s="4">
        <v>1070</v>
      </c>
      <c r="AK17" s="4">
        <v>0</v>
      </c>
      <c r="AL17" s="4">
        <v>0</v>
      </c>
      <c r="AM17" s="4">
        <v>0</v>
      </c>
      <c r="AN17" s="4">
        <v>0</v>
      </c>
      <c r="AO17" s="58">
        <f t="shared" si="11"/>
        <v>1924</v>
      </c>
    </row>
    <row r="18" spans="1:41" s="29" customFormat="1" ht="15" customHeight="1" x14ac:dyDescent="0.35">
      <c r="A18" s="36"/>
      <c r="B18" s="26" t="s">
        <v>24</v>
      </c>
      <c r="C18" s="4">
        <v>1250</v>
      </c>
      <c r="D18" s="4">
        <v>0</v>
      </c>
      <c r="E18" s="4">
        <v>0</v>
      </c>
      <c r="F18" s="4">
        <v>0</v>
      </c>
      <c r="G18" s="4">
        <v>2300</v>
      </c>
      <c r="H18" s="4">
        <v>780</v>
      </c>
      <c r="I18" s="4">
        <v>200</v>
      </c>
      <c r="J18" s="4">
        <v>0</v>
      </c>
      <c r="K18" s="4">
        <v>0</v>
      </c>
      <c r="L18" s="4">
        <v>759</v>
      </c>
      <c r="M18" s="4">
        <v>0</v>
      </c>
      <c r="N18" s="4">
        <v>0</v>
      </c>
      <c r="O18" s="58">
        <f t="shared" si="9"/>
        <v>5289</v>
      </c>
      <c r="P18" s="4">
        <v>543</v>
      </c>
      <c r="Q18" s="4">
        <v>0</v>
      </c>
      <c r="R18" s="4">
        <v>0</v>
      </c>
      <c r="S18" s="4">
        <v>875</v>
      </c>
      <c r="T18" s="4">
        <v>567</v>
      </c>
      <c r="U18" s="4">
        <v>357</v>
      </c>
      <c r="V18" s="4">
        <v>0</v>
      </c>
      <c r="W18" s="4">
        <v>5778</v>
      </c>
      <c r="X18" s="4">
        <v>0</v>
      </c>
      <c r="Y18" s="4">
        <v>0</v>
      </c>
      <c r="Z18" s="4">
        <v>0</v>
      </c>
      <c r="AA18" s="4">
        <v>644</v>
      </c>
      <c r="AB18" s="58">
        <f t="shared" si="10"/>
        <v>8764</v>
      </c>
      <c r="AC18" s="4">
        <v>1250</v>
      </c>
      <c r="AD18" s="4">
        <v>655</v>
      </c>
      <c r="AE18" s="4">
        <v>3556</v>
      </c>
      <c r="AF18" s="4">
        <v>0</v>
      </c>
      <c r="AG18" s="4">
        <v>0</v>
      </c>
      <c r="AH18" s="4">
        <v>764</v>
      </c>
      <c r="AI18" s="4">
        <v>755</v>
      </c>
      <c r="AJ18" s="4">
        <v>976</v>
      </c>
      <c r="AK18" s="4">
        <v>0</v>
      </c>
      <c r="AL18" s="4">
        <v>0</v>
      </c>
      <c r="AM18" s="4">
        <v>455</v>
      </c>
      <c r="AN18" s="4">
        <v>987</v>
      </c>
      <c r="AO18" s="58">
        <f t="shared" si="11"/>
        <v>9398</v>
      </c>
    </row>
    <row r="19" spans="1:41" s="29" customFormat="1" ht="15" customHeight="1" x14ac:dyDescent="0.35">
      <c r="A19" s="36"/>
      <c r="B19" s="26" t="s">
        <v>8</v>
      </c>
      <c r="C19" s="4">
        <v>1000</v>
      </c>
      <c r="D19" s="4">
        <v>1000</v>
      </c>
      <c r="E19" s="4">
        <v>1000</v>
      </c>
      <c r="F19" s="4">
        <v>1000</v>
      </c>
      <c r="G19" s="4">
        <v>1000</v>
      </c>
      <c r="H19" s="4">
        <v>1200</v>
      </c>
      <c r="I19" s="4">
        <v>1200</v>
      </c>
      <c r="J19" s="4">
        <v>1200</v>
      </c>
      <c r="K19" s="4">
        <v>1200</v>
      </c>
      <c r="L19" s="4">
        <v>1200</v>
      </c>
      <c r="M19" s="4">
        <v>1200</v>
      </c>
      <c r="N19" s="4">
        <v>1200</v>
      </c>
      <c r="O19" s="58">
        <f t="shared" si="9"/>
        <v>13400</v>
      </c>
      <c r="P19" s="4">
        <v>2700</v>
      </c>
      <c r="Q19" s="4">
        <v>2700</v>
      </c>
      <c r="R19" s="4">
        <v>2700</v>
      </c>
      <c r="S19" s="4">
        <v>2700</v>
      </c>
      <c r="T19" s="4">
        <v>2700</v>
      </c>
      <c r="U19" s="4">
        <v>2700</v>
      </c>
      <c r="V19" s="4">
        <v>2700</v>
      </c>
      <c r="W19" s="4">
        <v>2700</v>
      </c>
      <c r="X19" s="4">
        <v>3200</v>
      </c>
      <c r="Y19" s="4">
        <v>3200</v>
      </c>
      <c r="Z19" s="4">
        <v>3200</v>
      </c>
      <c r="AA19" s="4">
        <v>3200</v>
      </c>
      <c r="AB19" s="58">
        <f t="shared" si="10"/>
        <v>34400</v>
      </c>
      <c r="AC19" s="4">
        <v>3800</v>
      </c>
      <c r="AD19" s="4">
        <v>3800</v>
      </c>
      <c r="AE19" s="4">
        <v>3800</v>
      </c>
      <c r="AF19" s="4">
        <v>3800</v>
      </c>
      <c r="AG19" s="4">
        <v>3800</v>
      </c>
      <c r="AH19" s="4">
        <v>3800</v>
      </c>
      <c r="AI19" s="4">
        <v>3800</v>
      </c>
      <c r="AJ19" s="4">
        <v>4100</v>
      </c>
      <c r="AK19" s="4">
        <v>4100</v>
      </c>
      <c r="AL19" s="4">
        <v>4100</v>
      </c>
      <c r="AM19" s="4">
        <v>4100</v>
      </c>
      <c r="AN19" s="4">
        <v>4100</v>
      </c>
      <c r="AO19" s="58">
        <f t="shared" si="11"/>
        <v>47100</v>
      </c>
    </row>
    <row r="20" spans="1:41" s="29" customFormat="1" ht="15" customHeight="1" x14ac:dyDescent="0.35">
      <c r="A20" s="36"/>
      <c r="B20" s="26" t="s">
        <v>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12000</v>
      </c>
      <c r="K20" s="4">
        <v>0</v>
      </c>
      <c r="L20" s="4">
        <v>0</v>
      </c>
      <c r="M20" s="4">
        <v>0</v>
      </c>
      <c r="N20" s="4">
        <v>0</v>
      </c>
      <c r="O20" s="58">
        <f t="shared" si="9"/>
        <v>12000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22000</v>
      </c>
      <c r="X20" s="4">
        <v>0</v>
      </c>
      <c r="Y20" s="4">
        <v>0</v>
      </c>
      <c r="Z20" s="4">
        <v>0</v>
      </c>
      <c r="AA20" s="4">
        <v>0</v>
      </c>
      <c r="AB20" s="58">
        <f t="shared" si="10"/>
        <v>22000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29000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58">
        <f t="shared" si="11"/>
        <v>29000</v>
      </c>
    </row>
    <row r="21" spans="1:41" s="29" customFormat="1" ht="15" customHeight="1" x14ac:dyDescent="0.35">
      <c r="A21" s="36"/>
      <c r="B21" s="26" t="s">
        <v>22</v>
      </c>
      <c r="C21" s="4">
        <v>0</v>
      </c>
      <c r="D21" s="4">
        <v>0</v>
      </c>
      <c r="E21" s="4">
        <v>0</v>
      </c>
      <c r="F21" s="4">
        <v>0</v>
      </c>
      <c r="G21" s="4">
        <v>18000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58">
        <f t="shared" si="9"/>
        <v>18000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33000</v>
      </c>
      <c r="AA21" s="4">
        <v>0</v>
      </c>
      <c r="AB21" s="58">
        <f t="shared" si="10"/>
        <v>33000</v>
      </c>
      <c r="AC21" s="4">
        <v>0</v>
      </c>
      <c r="AD21" s="4">
        <v>0</v>
      </c>
      <c r="AE21" s="4">
        <v>0</v>
      </c>
      <c r="AF21" s="4">
        <v>0</v>
      </c>
      <c r="AG21" s="4">
        <v>29000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58">
        <f t="shared" si="11"/>
        <v>29000</v>
      </c>
    </row>
    <row r="22" spans="1:41" s="29" customFormat="1" ht="15" customHeight="1" x14ac:dyDescent="0.35">
      <c r="A22" s="36"/>
      <c r="B22" s="26" t="s">
        <v>10</v>
      </c>
      <c r="C22" s="4">
        <v>2000</v>
      </c>
      <c r="D22" s="4">
        <v>2000</v>
      </c>
      <c r="E22" s="4">
        <v>2000</v>
      </c>
      <c r="F22" s="4">
        <v>2000</v>
      </c>
      <c r="G22" s="4">
        <v>2000</v>
      </c>
      <c r="H22" s="4">
        <v>2000</v>
      </c>
      <c r="I22" s="4">
        <v>2300</v>
      </c>
      <c r="J22" s="4">
        <v>2300</v>
      </c>
      <c r="K22" s="4">
        <v>2300</v>
      </c>
      <c r="L22" s="4">
        <v>2300</v>
      </c>
      <c r="M22" s="4">
        <v>2300</v>
      </c>
      <c r="N22" s="4">
        <v>2300</v>
      </c>
      <c r="O22" s="58">
        <f t="shared" si="9"/>
        <v>25800</v>
      </c>
      <c r="P22" s="4">
        <v>2300</v>
      </c>
      <c r="Q22" s="4">
        <v>2300</v>
      </c>
      <c r="R22" s="4">
        <v>2300</v>
      </c>
      <c r="S22" s="4">
        <v>2300</v>
      </c>
      <c r="T22" s="4">
        <v>2300</v>
      </c>
      <c r="U22" s="4">
        <v>2300</v>
      </c>
      <c r="V22" s="4">
        <v>3200</v>
      </c>
      <c r="W22" s="4">
        <v>3200</v>
      </c>
      <c r="X22" s="4">
        <v>3200</v>
      </c>
      <c r="Y22" s="4">
        <v>3200</v>
      </c>
      <c r="Z22" s="4">
        <v>3200</v>
      </c>
      <c r="AA22" s="4">
        <v>3200</v>
      </c>
      <c r="AB22" s="58">
        <f t="shared" si="10"/>
        <v>33000</v>
      </c>
      <c r="AC22" s="4">
        <v>5100</v>
      </c>
      <c r="AD22" s="4">
        <v>5100</v>
      </c>
      <c r="AE22" s="4">
        <v>5100</v>
      </c>
      <c r="AF22" s="4">
        <v>5100</v>
      </c>
      <c r="AG22" s="4">
        <v>5100</v>
      </c>
      <c r="AH22" s="4">
        <v>5100</v>
      </c>
      <c r="AI22" s="4">
        <v>5100</v>
      </c>
      <c r="AJ22" s="4">
        <v>6200</v>
      </c>
      <c r="AK22" s="4">
        <v>6200</v>
      </c>
      <c r="AL22" s="4">
        <v>6200</v>
      </c>
      <c r="AM22" s="4">
        <v>6200</v>
      </c>
      <c r="AN22" s="4">
        <v>6200</v>
      </c>
      <c r="AO22" s="58">
        <f t="shared" si="11"/>
        <v>66700</v>
      </c>
    </row>
    <row r="23" spans="1:41" s="29" customFormat="1" ht="15" customHeight="1" x14ac:dyDescent="0.35">
      <c r="A23" s="36"/>
      <c r="B23" s="26" t="s">
        <v>25</v>
      </c>
      <c r="C23" s="4">
        <v>0</v>
      </c>
      <c r="D23" s="4">
        <v>0</v>
      </c>
      <c r="E23" s="4">
        <v>0</v>
      </c>
      <c r="F23" s="4">
        <v>74000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58">
        <f t="shared" si="9"/>
        <v>74000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12340</v>
      </c>
      <c r="Z23" s="4">
        <v>0</v>
      </c>
      <c r="AA23" s="4">
        <v>0</v>
      </c>
      <c r="AB23" s="58">
        <f t="shared" si="10"/>
        <v>12340</v>
      </c>
      <c r="AC23" s="4">
        <v>0</v>
      </c>
      <c r="AD23" s="4">
        <v>0</v>
      </c>
      <c r="AE23" s="4">
        <v>0</v>
      </c>
      <c r="AF23" s="4">
        <v>23100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58">
        <f t="shared" si="11"/>
        <v>23100</v>
      </c>
    </row>
    <row r="24" spans="1:41" s="29" customFormat="1" ht="15" customHeight="1" x14ac:dyDescent="0.35">
      <c r="A24" s="36"/>
      <c r="B24" s="26" t="s">
        <v>21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1800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58">
        <f t="shared" si="9"/>
        <v>1800</v>
      </c>
      <c r="P24" s="4">
        <v>0</v>
      </c>
      <c r="Q24" s="4">
        <v>0</v>
      </c>
      <c r="R24" s="4">
        <v>0</v>
      </c>
      <c r="S24" s="4">
        <v>12300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58">
        <f t="shared" si="10"/>
        <v>12300</v>
      </c>
      <c r="AC24" s="4">
        <v>0</v>
      </c>
      <c r="AD24" s="4">
        <v>0</v>
      </c>
      <c r="AE24" s="4">
        <v>0</v>
      </c>
      <c r="AF24" s="4">
        <v>0</v>
      </c>
      <c r="AG24" s="4">
        <v>8120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58">
        <f t="shared" si="11"/>
        <v>8120</v>
      </c>
    </row>
    <row r="25" spans="1:41" s="29" customFormat="1" ht="15" customHeight="1" x14ac:dyDescent="0.35">
      <c r="A25" s="36"/>
      <c r="B25" s="26" t="s">
        <v>20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4">
        <v>100</v>
      </c>
      <c r="O25" s="58">
        <f t="shared" si="9"/>
        <v>1200</v>
      </c>
      <c r="P25" s="4">
        <v>140</v>
      </c>
      <c r="Q25" s="4">
        <v>140</v>
      </c>
      <c r="R25" s="4">
        <v>140</v>
      </c>
      <c r="S25" s="4">
        <v>140</v>
      </c>
      <c r="T25" s="4">
        <v>140</v>
      </c>
      <c r="U25" s="4">
        <v>140</v>
      </c>
      <c r="V25" s="4">
        <v>140</v>
      </c>
      <c r="W25" s="4">
        <v>140</v>
      </c>
      <c r="X25" s="4">
        <v>140</v>
      </c>
      <c r="Y25" s="4">
        <v>140</v>
      </c>
      <c r="Z25" s="4">
        <v>140</v>
      </c>
      <c r="AA25" s="4">
        <v>140</v>
      </c>
      <c r="AB25" s="58">
        <f t="shared" si="10"/>
        <v>1680</v>
      </c>
      <c r="AC25" s="4">
        <v>160</v>
      </c>
      <c r="AD25" s="4">
        <v>160</v>
      </c>
      <c r="AE25" s="4">
        <v>160</v>
      </c>
      <c r="AF25" s="4">
        <v>160</v>
      </c>
      <c r="AG25" s="4">
        <v>160</v>
      </c>
      <c r="AH25" s="4">
        <v>160</v>
      </c>
      <c r="AI25" s="4">
        <v>160</v>
      </c>
      <c r="AJ25" s="4">
        <v>160</v>
      </c>
      <c r="AK25" s="4">
        <v>160</v>
      </c>
      <c r="AL25" s="4">
        <v>160</v>
      </c>
      <c r="AM25" s="4">
        <v>160</v>
      </c>
      <c r="AN25" s="4">
        <v>160</v>
      </c>
      <c r="AO25" s="58">
        <f t="shared" si="11"/>
        <v>1920</v>
      </c>
    </row>
    <row r="26" spans="1:41" s="29" customFormat="1" ht="15" customHeight="1" x14ac:dyDescent="0.35">
      <c r="A26" s="36"/>
      <c r="B26" s="26" t="s">
        <v>11</v>
      </c>
      <c r="C26" s="4">
        <v>300</v>
      </c>
      <c r="D26" s="4">
        <v>300</v>
      </c>
      <c r="E26" s="4">
        <v>300</v>
      </c>
      <c r="F26" s="4">
        <v>300</v>
      </c>
      <c r="G26" s="4">
        <v>300</v>
      </c>
      <c r="H26" s="4">
        <v>300</v>
      </c>
      <c r="I26" s="4">
        <v>300</v>
      </c>
      <c r="J26" s="4">
        <v>300</v>
      </c>
      <c r="K26" s="4">
        <v>300</v>
      </c>
      <c r="L26" s="4">
        <v>300</v>
      </c>
      <c r="M26" s="4">
        <v>300</v>
      </c>
      <c r="N26" s="4">
        <v>300</v>
      </c>
      <c r="O26" s="58">
        <f t="shared" si="9"/>
        <v>3600</v>
      </c>
      <c r="P26" s="4">
        <v>420</v>
      </c>
      <c r="Q26" s="4">
        <v>420</v>
      </c>
      <c r="R26" s="4">
        <v>420</v>
      </c>
      <c r="S26" s="4">
        <v>420</v>
      </c>
      <c r="T26" s="4">
        <v>420</v>
      </c>
      <c r="U26" s="4">
        <v>420</v>
      </c>
      <c r="V26" s="4">
        <v>420</v>
      </c>
      <c r="W26" s="4">
        <v>420</v>
      </c>
      <c r="X26" s="4">
        <v>420</v>
      </c>
      <c r="Y26" s="4">
        <v>420</v>
      </c>
      <c r="Z26" s="4">
        <v>420</v>
      </c>
      <c r="AA26" s="4">
        <v>420</v>
      </c>
      <c r="AB26" s="58">
        <f t="shared" si="10"/>
        <v>5040</v>
      </c>
      <c r="AC26" s="4">
        <v>610</v>
      </c>
      <c r="AD26" s="4">
        <v>610</v>
      </c>
      <c r="AE26" s="4">
        <v>610</v>
      </c>
      <c r="AF26" s="4">
        <v>610</v>
      </c>
      <c r="AG26" s="4">
        <v>610</v>
      </c>
      <c r="AH26" s="4">
        <v>610</v>
      </c>
      <c r="AI26" s="4">
        <v>610</v>
      </c>
      <c r="AJ26" s="4">
        <v>610</v>
      </c>
      <c r="AK26" s="4">
        <v>610</v>
      </c>
      <c r="AL26" s="4">
        <v>610</v>
      </c>
      <c r="AM26" s="4">
        <v>610</v>
      </c>
      <c r="AN26" s="4">
        <v>610</v>
      </c>
      <c r="AO26" s="58">
        <f t="shared" si="11"/>
        <v>7320</v>
      </c>
    </row>
    <row r="27" spans="1:41" s="29" customFormat="1" ht="15" customHeight="1" x14ac:dyDescent="0.35">
      <c r="A27" s="36"/>
      <c r="B27" s="26" t="s">
        <v>19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32000</v>
      </c>
      <c r="K27" s="4">
        <v>0</v>
      </c>
      <c r="L27" s="4">
        <v>0</v>
      </c>
      <c r="M27" s="4">
        <v>0</v>
      </c>
      <c r="N27" s="4">
        <v>0</v>
      </c>
      <c r="O27" s="58">
        <f t="shared" si="9"/>
        <v>32000</v>
      </c>
      <c r="P27" s="4">
        <v>0</v>
      </c>
      <c r="Q27" s="4">
        <v>7510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58">
        <f t="shared" si="10"/>
        <v>7510</v>
      </c>
      <c r="AC27" s="4">
        <v>0</v>
      </c>
      <c r="AD27" s="4">
        <v>2300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3900</v>
      </c>
      <c r="AL27" s="4">
        <v>0</v>
      </c>
      <c r="AM27" s="4">
        <v>0</v>
      </c>
      <c r="AN27" s="4">
        <v>0</v>
      </c>
      <c r="AO27" s="58">
        <f t="shared" si="11"/>
        <v>6200</v>
      </c>
    </row>
    <row r="28" spans="1:41" s="29" customFormat="1" ht="15" customHeight="1" x14ac:dyDescent="0.35">
      <c r="A28" s="36"/>
      <c r="B28" s="26" t="s">
        <v>12</v>
      </c>
      <c r="C28" s="4">
        <v>10000</v>
      </c>
      <c r="D28" s="4">
        <v>10000</v>
      </c>
      <c r="E28" s="4">
        <v>10000</v>
      </c>
      <c r="F28" s="4">
        <v>10000</v>
      </c>
      <c r="G28" s="4">
        <v>10000</v>
      </c>
      <c r="H28" s="4">
        <v>10000</v>
      </c>
      <c r="I28" s="4">
        <v>10000</v>
      </c>
      <c r="J28" s="4">
        <v>10000</v>
      </c>
      <c r="K28" s="4">
        <v>10000</v>
      </c>
      <c r="L28" s="4">
        <v>10000</v>
      </c>
      <c r="M28" s="4">
        <v>10000</v>
      </c>
      <c r="N28" s="4">
        <v>10000</v>
      </c>
      <c r="O28" s="58">
        <f t="shared" si="9"/>
        <v>120000</v>
      </c>
      <c r="P28" s="4">
        <v>12400</v>
      </c>
      <c r="Q28" s="4">
        <v>12400</v>
      </c>
      <c r="R28" s="4">
        <v>12400</v>
      </c>
      <c r="S28" s="4">
        <v>12400</v>
      </c>
      <c r="T28" s="4">
        <v>12400</v>
      </c>
      <c r="U28" s="4">
        <v>12400</v>
      </c>
      <c r="V28" s="4">
        <v>12400</v>
      </c>
      <c r="W28" s="4">
        <v>12400</v>
      </c>
      <c r="X28" s="4">
        <v>12400</v>
      </c>
      <c r="Y28" s="4">
        <v>12400</v>
      </c>
      <c r="Z28" s="4">
        <v>12400</v>
      </c>
      <c r="AA28" s="4">
        <v>12400</v>
      </c>
      <c r="AB28" s="58">
        <f t="shared" si="10"/>
        <v>148800</v>
      </c>
      <c r="AC28" s="4">
        <v>14800</v>
      </c>
      <c r="AD28" s="4">
        <v>14800</v>
      </c>
      <c r="AE28" s="4">
        <v>14800</v>
      </c>
      <c r="AF28" s="4">
        <v>14800</v>
      </c>
      <c r="AG28" s="4">
        <v>14800</v>
      </c>
      <c r="AH28" s="4">
        <v>14800</v>
      </c>
      <c r="AI28" s="4">
        <v>14800</v>
      </c>
      <c r="AJ28" s="4">
        <v>14800</v>
      </c>
      <c r="AK28" s="4">
        <v>14800</v>
      </c>
      <c r="AL28" s="4">
        <v>14800</v>
      </c>
      <c r="AM28" s="4">
        <v>14800</v>
      </c>
      <c r="AN28" s="4">
        <v>14800</v>
      </c>
      <c r="AO28" s="58">
        <f t="shared" si="11"/>
        <v>177600</v>
      </c>
    </row>
    <row r="29" spans="1:41" s="29" customFormat="1" ht="15" customHeight="1" x14ac:dyDescent="0.35">
      <c r="A29" s="36"/>
      <c r="B29" s="26" t="s">
        <v>23</v>
      </c>
      <c r="C29" s="4">
        <v>0</v>
      </c>
      <c r="D29" s="4">
        <v>0</v>
      </c>
      <c r="E29" s="4">
        <v>800</v>
      </c>
      <c r="F29" s="4">
        <v>0</v>
      </c>
      <c r="G29" s="4">
        <v>0</v>
      </c>
      <c r="H29" s="4">
        <v>780</v>
      </c>
      <c r="I29" s="4">
        <v>0</v>
      </c>
      <c r="J29" s="4">
        <v>0</v>
      </c>
      <c r="K29" s="4">
        <v>4300</v>
      </c>
      <c r="L29" s="4">
        <v>0</v>
      </c>
      <c r="M29" s="4">
        <v>0</v>
      </c>
      <c r="N29" s="4">
        <v>0</v>
      </c>
      <c r="O29" s="58">
        <f t="shared" si="9"/>
        <v>5880</v>
      </c>
      <c r="P29" s="4">
        <v>0</v>
      </c>
      <c r="Q29" s="4">
        <v>0</v>
      </c>
      <c r="R29" s="4">
        <v>0</v>
      </c>
      <c r="S29" s="4">
        <v>2100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2320</v>
      </c>
      <c r="Z29" s="4">
        <v>0</v>
      </c>
      <c r="AA29" s="4">
        <v>0</v>
      </c>
      <c r="AB29" s="58">
        <f t="shared" si="10"/>
        <v>4420</v>
      </c>
      <c r="AC29" s="4">
        <v>0</v>
      </c>
      <c r="AD29" s="4">
        <v>1900</v>
      </c>
      <c r="AE29" s="4">
        <v>0</v>
      </c>
      <c r="AF29" s="4">
        <v>0</v>
      </c>
      <c r="AG29" s="4">
        <v>0</v>
      </c>
      <c r="AH29" s="4">
        <v>7200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58">
        <f t="shared" si="11"/>
        <v>9100</v>
      </c>
    </row>
    <row r="30" spans="1:41" s="29" customFormat="1" ht="15" customHeight="1" x14ac:dyDescent="0.35">
      <c r="A30" s="36"/>
      <c r="B30" s="26" t="s">
        <v>13</v>
      </c>
      <c r="C30" s="4">
        <v>22850</v>
      </c>
      <c r="D30" s="4">
        <v>22850</v>
      </c>
      <c r="E30" s="4">
        <v>22850</v>
      </c>
      <c r="F30" s="4">
        <v>22850</v>
      </c>
      <c r="G30" s="4">
        <v>22850</v>
      </c>
      <c r="H30" s="4">
        <v>22850</v>
      </c>
      <c r="I30" s="4">
        <v>22850</v>
      </c>
      <c r="J30" s="4">
        <v>22850</v>
      </c>
      <c r="K30" s="4">
        <v>22850</v>
      </c>
      <c r="L30" s="4">
        <v>22850</v>
      </c>
      <c r="M30" s="4">
        <v>22850</v>
      </c>
      <c r="N30" s="4">
        <v>22850</v>
      </c>
      <c r="O30" s="58">
        <f t="shared" si="9"/>
        <v>274200</v>
      </c>
      <c r="P30" s="4">
        <v>35400</v>
      </c>
      <c r="Q30" s="4">
        <v>35400</v>
      </c>
      <c r="R30" s="4">
        <v>35400</v>
      </c>
      <c r="S30" s="4">
        <v>35400</v>
      </c>
      <c r="T30" s="4">
        <v>35400</v>
      </c>
      <c r="U30" s="4">
        <v>35400</v>
      </c>
      <c r="V30" s="4">
        <v>35400</v>
      </c>
      <c r="W30" s="4">
        <v>35400</v>
      </c>
      <c r="X30" s="4">
        <v>35400</v>
      </c>
      <c r="Y30" s="4">
        <v>35400</v>
      </c>
      <c r="Z30" s="4">
        <v>35400</v>
      </c>
      <c r="AA30" s="4">
        <v>35400</v>
      </c>
      <c r="AB30" s="58">
        <f t="shared" si="10"/>
        <v>424800</v>
      </c>
      <c r="AC30" s="4">
        <v>43900</v>
      </c>
      <c r="AD30" s="4">
        <v>43900</v>
      </c>
      <c r="AE30" s="4">
        <v>43900</v>
      </c>
      <c r="AF30" s="4">
        <v>43900</v>
      </c>
      <c r="AG30" s="4">
        <v>43900</v>
      </c>
      <c r="AH30" s="4">
        <v>43900</v>
      </c>
      <c r="AI30" s="4">
        <v>43900</v>
      </c>
      <c r="AJ30" s="4">
        <v>43900</v>
      </c>
      <c r="AK30" s="4">
        <v>43900</v>
      </c>
      <c r="AL30" s="4">
        <v>43900</v>
      </c>
      <c r="AM30" s="4">
        <v>43900</v>
      </c>
      <c r="AN30" s="4">
        <v>43900</v>
      </c>
      <c r="AO30" s="58">
        <f t="shared" si="11"/>
        <v>526800</v>
      </c>
    </row>
    <row r="31" spans="1:41" s="29" customFormat="1" ht="15" customHeight="1" x14ac:dyDescent="0.35">
      <c r="A31" s="36"/>
      <c r="B31" s="26" t="s">
        <v>14</v>
      </c>
      <c r="C31" s="4">
        <v>325</v>
      </c>
      <c r="D31" s="4">
        <v>325</v>
      </c>
      <c r="E31" s="4">
        <v>325</v>
      </c>
      <c r="F31" s="4">
        <v>325</v>
      </c>
      <c r="G31" s="4">
        <v>325</v>
      </c>
      <c r="H31" s="4">
        <v>325</v>
      </c>
      <c r="I31" s="4">
        <v>325</v>
      </c>
      <c r="J31" s="4">
        <v>325</v>
      </c>
      <c r="K31" s="4">
        <v>325</v>
      </c>
      <c r="L31" s="4">
        <v>325</v>
      </c>
      <c r="M31" s="4">
        <v>325</v>
      </c>
      <c r="N31" s="4">
        <v>325</v>
      </c>
      <c r="O31" s="58">
        <f t="shared" si="9"/>
        <v>3900</v>
      </c>
      <c r="P31" s="4">
        <v>378</v>
      </c>
      <c r="Q31" s="4">
        <v>378</v>
      </c>
      <c r="R31" s="4">
        <v>378</v>
      </c>
      <c r="S31" s="4">
        <v>378</v>
      </c>
      <c r="T31" s="4">
        <v>378</v>
      </c>
      <c r="U31" s="4">
        <v>378</v>
      </c>
      <c r="V31" s="4">
        <v>378</v>
      </c>
      <c r="W31" s="4">
        <v>378</v>
      </c>
      <c r="X31" s="4">
        <v>378</v>
      </c>
      <c r="Y31" s="4">
        <v>378</v>
      </c>
      <c r="Z31" s="4">
        <v>378</v>
      </c>
      <c r="AA31" s="4">
        <v>378</v>
      </c>
      <c r="AB31" s="58">
        <f t="shared" si="10"/>
        <v>4536</v>
      </c>
      <c r="AC31" s="4">
        <v>421</v>
      </c>
      <c r="AD31" s="4">
        <v>421</v>
      </c>
      <c r="AE31" s="4">
        <v>421</v>
      </c>
      <c r="AF31" s="4">
        <v>421</v>
      </c>
      <c r="AG31" s="4">
        <v>421</v>
      </c>
      <c r="AH31" s="4">
        <v>421</v>
      </c>
      <c r="AI31" s="4">
        <v>421</v>
      </c>
      <c r="AJ31" s="4">
        <v>421</v>
      </c>
      <c r="AK31" s="4">
        <v>421</v>
      </c>
      <c r="AL31" s="4">
        <v>421</v>
      </c>
      <c r="AM31" s="4">
        <v>421</v>
      </c>
      <c r="AN31" s="4">
        <v>421</v>
      </c>
      <c r="AO31" s="58">
        <f t="shared" si="11"/>
        <v>5052</v>
      </c>
    </row>
    <row r="32" spans="1:41" s="29" customFormat="1" ht="15" customHeight="1" x14ac:dyDescent="0.35">
      <c r="A32" s="36"/>
      <c r="B32" s="26" t="s">
        <v>15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3200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58">
        <f t="shared" si="9"/>
        <v>3200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3670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58">
        <f t="shared" si="10"/>
        <v>3670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4020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58">
        <f t="shared" si="11"/>
        <v>4020</v>
      </c>
    </row>
    <row r="33" spans="1:41" s="29" customFormat="1" ht="15" customHeight="1" x14ac:dyDescent="0.35">
      <c r="A33" s="36"/>
      <c r="B33" s="26" t="s">
        <v>16</v>
      </c>
      <c r="C33" s="4">
        <v>2510</v>
      </c>
      <c r="D33" s="4">
        <v>2510</v>
      </c>
      <c r="E33" s="4">
        <v>2510</v>
      </c>
      <c r="F33" s="4">
        <v>2510</v>
      </c>
      <c r="G33" s="4">
        <v>2510</v>
      </c>
      <c r="H33" s="4">
        <v>2510</v>
      </c>
      <c r="I33" s="4">
        <v>2510</v>
      </c>
      <c r="J33" s="4">
        <v>2510</v>
      </c>
      <c r="K33" s="4">
        <v>2510</v>
      </c>
      <c r="L33" s="4">
        <v>2510</v>
      </c>
      <c r="M33" s="4">
        <v>2510</v>
      </c>
      <c r="N33" s="4">
        <v>2510</v>
      </c>
      <c r="O33" s="58">
        <f t="shared" si="9"/>
        <v>30120</v>
      </c>
      <c r="P33" s="4">
        <v>3420</v>
      </c>
      <c r="Q33" s="4">
        <v>3420</v>
      </c>
      <c r="R33" s="4">
        <v>3420</v>
      </c>
      <c r="S33" s="4">
        <v>3420</v>
      </c>
      <c r="T33" s="4">
        <v>3420</v>
      </c>
      <c r="U33" s="4">
        <v>3420</v>
      </c>
      <c r="V33" s="4">
        <v>3420</v>
      </c>
      <c r="W33" s="4">
        <v>3420</v>
      </c>
      <c r="X33" s="4">
        <v>3420</v>
      </c>
      <c r="Y33" s="4">
        <v>3420</v>
      </c>
      <c r="Z33" s="4">
        <v>3420</v>
      </c>
      <c r="AA33" s="4">
        <v>3420</v>
      </c>
      <c r="AB33" s="58">
        <f t="shared" si="10"/>
        <v>41040</v>
      </c>
      <c r="AC33" s="4">
        <v>3890</v>
      </c>
      <c r="AD33" s="4">
        <v>3890</v>
      </c>
      <c r="AE33" s="4">
        <v>3890</v>
      </c>
      <c r="AF33" s="4">
        <v>3890</v>
      </c>
      <c r="AG33" s="4">
        <v>3890</v>
      </c>
      <c r="AH33" s="4">
        <v>3890</v>
      </c>
      <c r="AI33" s="4">
        <v>3890</v>
      </c>
      <c r="AJ33" s="4">
        <v>3890</v>
      </c>
      <c r="AK33" s="4">
        <v>3890</v>
      </c>
      <c r="AL33" s="4">
        <v>3890</v>
      </c>
      <c r="AM33" s="4">
        <v>3890</v>
      </c>
      <c r="AN33" s="4">
        <v>3890</v>
      </c>
      <c r="AO33" s="58">
        <f t="shared" si="11"/>
        <v>46680</v>
      </c>
    </row>
    <row r="34" spans="1:41" s="29" customFormat="1" ht="15" customHeight="1" x14ac:dyDescent="0.35">
      <c r="A34" s="36"/>
      <c r="B34" s="26" t="s">
        <v>26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12000</v>
      </c>
      <c r="K34" s="4">
        <v>0</v>
      </c>
      <c r="L34" s="4">
        <v>0</v>
      </c>
      <c r="M34" s="4">
        <v>0</v>
      </c>
      <c r="N34" s="4">
        <v>0</v>
      </c>
      <c r="O34" s="58">
        <f t="shared" si="9"/>
        <v>12000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8520</v>
      </c>
      <c r="Y34" s="4">
        <v>0</v>
      </c>
      <c r="Z34" s="4">
        <v>0</v>
      </c>
      <c r="AA34" s="4">
        <v>0</v>
      </c>
      <c r="AB34" s="58">
        <f t="shared" si="10"/>
        <v>8520</v>
      </c>
      <c r="AC34" s="4">
        <v>0</v>
      </c>
      <c r="AD34" s="4">
        <v>0</v>
      </c>
      <c r="AE34" s="4">
        <v>7400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58">
        <f t="shared" si="11"/>
        <v>7400</v>
      </c>
    </row>
    <row r="35" spans="1:41" s="29" customFormat="1" ht="15" customHeight="1" x14ac:dyDescent="0.35">
      <c r="A35" s="36"/>
      <c r="B35" s="26" t="s">
        <v>7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2530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58">
        <f t="shared" si="9"/>
        <v>2530</v>
      </c>
      <c r="P35" s="4">
        <v>0</v>
      </c>
      <c r="Q35" s="4">
        <v>0</v>
      </c>
      <c r="R35" s="4">
        <v>0</v>
      </c>
      <c r="S35" s="4">
        <v>0</v>
      </c>
      <c r="T35" s="4">
        <v>900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58">
        <f t="shared" si="10"/>
        <v>900</v>
      </c>
      <c r="AC35" s="4">
        <v>0</v>
      </c>
      <c r="AD35" s="4">
        <v>0</v>
      </c>
      <c r="AE35" s="4">
        <v>0</v>
      </c>
      <c r="AF35" s="4">
        <v>710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58">
        <f t="shared" si="11"/>
        <v>710</v>
      </c>
    </row>
    <row r="36" spans="1:41" s="47" customFormat="1" ht="15" customHeight="1" x14ac:dyDescent="0.35">
      <c r="B36" s="43" t="s">
        <v>74</v>
      </c>
      <c r="C36" s="59">
        <f t="shared" ref="C36:AO36" ca="1" si="12">SUM(OFFSET($B$12,1,COLUMN(C12)-2,ROW($B$36)-ROW($B$12)-1,1))</f>
        <v>48085</v>
      </c>
      <c r="D36" s="59">
        <f t="shared" ca="1" si="12"/>
        <v>46835</v>
      </c>
      <c r="E36" s="59">
        <f t="shared" ca="1" si="12"/>
        <v>52935</v>
      </c>
      <c r="F36" s="59">
        <f t="shared" ca="1" si="12"/>
        <v>124935</v>
      </c>
      <c r="G36" s="59">
        <f t="shared" ca="1" si="12"/>
        <v>67435</v>
      </c>
      <c r="H36" s="59">
        <f t="shared" ca="1" si="12"/>
        <v>72155</v>
      </c>
      <c r="I36" s="59">
        <f t="shared" ca="1" si="12"/>
        <v>52225</v>
      </c>
      <c r="J36" s="59">
        <f t="shared" ca="1" si="12"/>
        <v>103695</v>
      </c>
      <c r="K36" s="59">
        <f t="shared" ca="1" si="12"/>
        <v>89995</v>
      </c>
      <c r="L36" s="59">
        <f t="shared" ca="1" si="12"/>
        <v>56454</v>
      </c>
      <c r="M36" s="59">
        <f t="shared" ca="1" si="12"/>
        <v>47695</v>
      </c>
      <c r="N36" s="59">
        <f t="shared" ca="1" si="12"/>
        <v>51895</v>
      </c>
      <c r="O36" s="59">
        <f t="shared" ca="1" si="12"/>
        <v>814339</v>
      </c>
      <c r="P36" s="59">
        <f t="shared" ca="1" si="12"/>
        <v>66121</v>
      </c>
      <c r="Q36" s="59">
        <f t="shared" ca="1" si="12"/>
        <v>90088</v>
      </c>
      <c r="R36" s="59">
        <f t="shared" ca="1" si="12"/>
        <v>65578</v>
      </c>
      <c r="S36" s="59">
        <f t="shared" ca="1" si="12"/>
        <v>80853</v>
      </c>
      <c r="T36" s="59">
        <f t="shared" ca="1" si="12"/>
        <v>67045</v>
      </c>
      <c r="U36" s="59">
        <f t="shared" ca="1" si="12"/>
        <v>104890</v>
      </c>
      <c r="V36" s="59">
        <f t="shared" ca="1" si="12"/>
        <v>66478</v>
      </c>
      <c r="W36" s="59">
        <f t="shared" ca="1" si="12"/>
        <v>94256</v>
      </c>
      <c r="X36" s="59">
        <f t="shared" ca="1" si="12"/>
        <v>75523</v>
      </c>
      <c r="Y36" s="59">
        <f t="shared" ca="1" si="12"/>
        <v>124553</v>
      </c>
      <c r="Z36" s="59">
        <f t="shared" ca="1" si="12"/>
        <v>100003</v>
      </c>
      <c r="AA36" s="59">
        <f t="shared" ca="1" si="12"/>
        <v>67647</v>
      </c>
      <c r="AB36" s="59">
        <f t="shared" ca="1" si="12"/>
        <v>1003035</v>
      </c>
      <c r="AC36" s="59">
        <f t="shared" ca="1" si="12"/>
        <v>82695</v>
      </c>
      <c r="AD36" s="59">
        <f t="shared" ca="1" si="12"/>
        <v>135300</v>
      </c>
      <c r="AE36" s="59">
        <f t="shared" ca="1" si="12"/>
        <v>93255</v>
      </c>
      <c r="AF36" s="59">
        <f t="shared" ca="1" si="12"/>
        <v>105255</v>
      </c>
      <c r="AG36" s="59">
        <f t="shared" ca="1" si="12"/>
        <v>178565</v>
      </c>
      <c r="AH36" s="59">
        <f t="shared" ca="1" si="12"/>
        <v>96429</v>
      </c>
      <c r="AI36" s="59">
        <f t="shared" ca="1" si="12"/>
        <v>115246</v>
      </c>
      <c r="AJ36" s="59">
        <f t="shared" ca="1" si="12"/>
        <v>88937</v>
      </c>
      <c r="AK36" s="59">
        <f t="shared" ca="1" si="12"/>
        <v>114791</v>
      </c>
      <c r="AL36" s="59">
        <f t="shared" ca="1" si="12"/>
        <v>96891</v>
      </c>
      <c r="AM36" s="59">
        <f t="shared" ca="1" si="12"/>
        <v>97346</v>
      </c>
      <c r="AN36" s="59">
        <f t="shared" ca="1" si="12"/>
        <v>97878</v>
      </c>
      <c r="AO36" s="59">
        <f t="shared" ca="1" si="12"/>
        <v>1302588</v>
      </c>
    </row>
    <row r="37" spans="1:41" s="47" customFormat="1" ht="15" customHeight="1" x14ac:dyDescent="0.35">
      <c r="B37" s="43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  <row r="38" spans="1:41" s="29" customFormat="1" ht="15" customHeight="1" x14ac:dyDescent="0.35">
      <c r="A38" s="36"/>
      <c r="B38" s="26" t="s">
        <v>80</v>
      </c>
      <c r="C38" s="4">
        <v>13333.333333333334</v>
      </c>
      <c r="D38" s="4">
        <v>13333.333333333334</v>
      </c>
      <c r="E38" s="4">
        <v>14166.666666666666</v>
      </c>
      <c r="F38" s="4">
        <v>14166.666666666666</v>
      </c>
      <c r="G38" s="4">
        <v>14166.666666666666</v>
      </c>
      <c r="H38" s="4">
        <v>15416.666666666666</v>
      </c>
      <c r="I38" s="4">
        <v>15416.666666666666</v>
      </c>
      <c r="J38" s="4">
        <v>15416.666666666666</v>
      </c>
      <c r="K38" s="4">
        <v>15416.666666666666</v>
      </c>
      <c r="L38" s="4">
        <v>15416.666666666666</v>
      </c>
      <c r="M38" s="4">
        <v>15416.666666666666</v>
      </c>
      <c r="N38" s="4">
        <v>15416.666666666666</v>
      </c>
      <c r="O38" s="58">
        <f>SUM(C38:N38)</f>
        <v>177083.33333333334</v>
      </c>
      <c r="P38" s="4">
        <v>13715.277777777783</v>
      </c>
      <c r="Q38" s="4">
        <v>13715.277777777783</v>
      </c>
      <c r="R38" s="4">
        <v>13715.277777777783</v>
      </c>
      <c r="S38" s="4">
        <v>13715.277777777783</v>
      </c>
      <c r="T38" s="4">
        <v>13715.277777777783</v>
      </c>
      <c r="U38" s="4">
        <v>13715.277777777783</v>
      </c>
      <c r="V38" s="4">
        <v>13715.277777777783</v>
      </c>
      <c r="W38" s="4">
        <v>14215.277777777783</v>
      </c>
      <c r="X38" s="4">
        <v>14215.277777777783</v>
      </c>
      <c r="Y38" s="4">
        <v>14215.277777777783</v>
      </c>
      <c r="Z38" s="4">
        <v>14215.277777777783</v>
      </c>
      <c r="AA38" s="4">
        <v>14215.277777777783</v>
      </c>
      <c r="AB38" s="58">
        <f>SUM(P38:AA38)</f>
        <v>167083.3333333334</v>
      </c>
      <c r="AC38" s="4">
        <v>11430.555555555567</v>
      </c>
      <c r="AD38" s="4">
        <v>12797.222222222234</v>
      </c>
      <c r="AE38" s="4">
        <v>12797.222222222234</v>
      </c>
      <c r="AF38" s="4">
        <v>12797.222222222234</v>
      </c>
      <c r="AG38" s="4">
        <v>12797.222222222234</v>
      </c>
      <c r="AH38" s="4">
        <v>12797.222222222234</v>
      </c>
      <c r="AI38" s="4">
        <v>12797.222222222234</v>
      </c>
      <c r="AJ38" s="4">
        <v>12797.222222222234</v>
      </c>
      <c r="AK38" s="4">
        <v>12797.222222222234</v>
      </c>
      <c r="AL38" s="4">
        <v>14380.555555555567</v>
      </c>
      <c r="AM38" s="4">
        <v>14380.555555555567</v>
      </c>
      <c r="AN38" s="4">
        <v>14380.555555555567</v>
      </c>
      <c r="AO38" s="58">
        <f>SUM(AC38:AN38)</f>
        <v>156950.00000000015</v>
      </c>
    </row>
    <row r="39" spans="1:41" ht="15" customHeight="1" x14ac:dyDescent="0.3">
      <c r="C39" s="4"/>
      <c r="D39" s="4"/>
      <c r="E39" s="4"/>
      <c r="F39" s="4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s="47" customFormat="1" ht="15" customHeight="1" x14ac:dyDescent="0.35">
      <c r="B40" s="43" t="s">
        <v>82</v>
      </c>
      <c r="C40" s="58">
        <f ca="1">SUM(C9,-C36,-C38)</f>
        <v>43581.666666666664</v>
      </c>
      <c r="D40" s="58">
        <f t="shared" ref="D40:AO40" ca="1" si="13">SUM(D9,-D36,-D38)</f>
        <v>62231.666666666664</v>
      </c>
      <c r="E40" s="58">
        <f t="shared" ca="1" si="13"/>
        <v>44898.333333333336</v>
      </c>
      <c r="F40" s="58">
        <f t="shared" ca="1" si="13"/>
        <v>-23541.666666666664</v>
      </c>
      <c r="G40" s="58">
        <f t="shared" ca="1" si="13"/>
        <v>31248.333333333336</v>
      </c>
      <c r="H40" s="58">
        <f t="shared" ca="1" si="13"/>
        <v>30828.333333333336</v>
      </c>
      <c r="I40" s="58">
        <f t="shared" ca="1" si="13"/>
        <v>48908.333333333336</v>
      </c>
      <c r="J40" s="58">
        <f t="shared" ca="1" si="13"/>
        <v>-8111.6666666666661</v>
      </c>
      <c r="K40" s="58">
        <f t="shared" ca="1" si="13"/>
        <v>12988.333333333334</v>
      </c>
      <c r="L40" s="58">
        <f t="shared" ca="1" si="13"/>
        <v>50229.333333333336</v>
      </c>
      <c r="M40" s="58">
        <f t="shared" ca="1" si="13"/>
        <v>58248.333333333336</v>
      </c>
      <c r="N40" s="58">
        <f t="shared" ca="1" si="13"/>
        <v>47388.333333333336</v>
      </c>
      <c r="O40" s="58">
        <f t="shared" ca="1" si="13"/>
        <v>398897.66666666663</v>
      </c>
      <c r="P40" s="58">
        <f t="shared" ca="1" si="13"/>
        <v>49663.722222222219</v>
      </c>
      <c r="Q40" s="58">
        <f t="shared" ca="1" si="13"/>
        <v>14596.722222222217</v>
      </c>
      <c r="R40" s="58">
        <f t="shared" ca="1" si="13"/>
        <v>48356.722222222219</v>
      </c>
      <c r="S40" s="58">
        <f t="shared" ca="1" si="13"/>
        <v>36411.722222222219</v>
      </c>
      <c r="T40" s="58">
        <f t="shared" ca="1" si="13"/>
        <v>47629.722222222219</v>
      </c>
      <c r="U40" s="58">
        <f t="shared" ca="1" si="13"/>
        <v>-805.27777777778283</v>
      </c>
      <c r="V40" s="58">
        <f t="shared" ca="1" si="13"/>
        <v>39506.722222222219</v>
      </c>
      <c r="W40" s="58">
        <f t="shared" ca="1" si="13"/>
        <v>24528.722222222219</v>
      </c>
      <c r="X40" s="58">
        <f t="shared" ca="1" si="13"/>
        <v>38701.722222222219</v>
      </c>
      <c r="Y40" s="58">
        <f t="shared" ca="1" si="13"/>
        <v>-1208.2777777777828</v>
      </c>
      <c r="Z40" s="58">
        <f t="shared" ca="1" si="13"/>
        <v>21441.722222222219</v>
      </c>
      <c r="AA40" s="58">
        <f t="shared" ca="1" si="13"/>
        <v>55807.722222222219</v>
      </c>
      <c r="AB40" s="58">
        <f t="shared" ca="1" si="13"/>
        <v>374631.66666666663</v>
      </c>
      <c r="AC40" s="58">
        <f t="shared" ca="1" si="13"/>
        <v>50674.444444444431</v>
      </c>
      <c r="AD40" s="58">
        <f t="shared" ca="1" si="13"/>
        <v>-897.22222222223354</v>
      </c>
      <c r="AE40" s="58">
        <f t="shared" ca="1" si="13"/>
        <v>33547.777777777766</v>
      </c>
      <c r="AF40" s="58">
        <f t="shared" ca="1" si="13"/>
        <v>29947.777777777766</v>
      </c>
      <c r="AG40" s="58">
        <f t="shared" ca="1" si="13"/>
        <v>-45762.222222222234</v>
      </c>
      <c r="AH40" s="58">
        <f t="shared" ca="1" si="13"/>
        <v>43173.777777777766</v>
      </c>
      <c r="AI40" s="58">
        <f t="shared" ca="1" si="13"/>
        <v>27556.777777777766</v>
      </c>
      <c r="AJ40" s="58">
        <f t="shared" ca="1" si="13"/>
        <v>47065.777777777766</v>
      </c>
      <c r="AK40" s="58">
        <f t="shared" ca="1" si="13"/>
        <v>24411.777777777766</v>
      </c>
      <c r="AL40" s="58">
        <f t="shared" ca="1" si="13"/>
        <v>42728.444444444431</v>
      </c>
      <c r="AM40" s="58">
        <f t="shared" ca="1" si="13"/>
        <v>37873.444444444431</v>
      </c>
      <c r="AN40" s="58">
        <f t="shared" ca="1" si="13"/>
        <v>43741.444444444431</v>
      </c>
      <c r="AO40" s="58">
        <f t="shared" ca="1" si="13"/>
        <v>334061.99999999988</v>
      </c>
    </row>
    <row r="41" spans="1:41" ht="15" customHeight="1" x14ac:dyDescent="0.3">
      <c r="C41" s="4"/>
      <c r="D41" s="4"/>
      <c r="E41" s="4"/>
      <c r="F41" s="4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s="29" customFormat="1" ht="15" customHeight="1" x14ac:dyDescent="0.35">
      <c r="B42" s="26" t="s">
        <v>50</v>
      </c>
      <c r="C42" s="4">
        <f ca="1">OFFSET(Loans!$E$9,COLUMN(C40)-2,0,1,1)</f>
        <v>9625</v>
      </c>
      <c r="D42" s="4">
        <f ca="1">OFFSET(Loans!$E$9,COLUMN(D40)-2,0,1,1)</f>
        <v>9502.3399588606189</v>
      </c>
      <c r="E42" s="4">
        <f ca="1">OFFSET(Loans!$E$9,COLUMN(E40)-2,0,1,1)</f>
        <v>9378.6066423612701</v>
      </c>
      <c r="F42" s="4">
        <f ca="1">OFFSET(Loans!$E$9,COLUMN(F40)-2,0,1,1)</f>
        <v>9253.7906593425487</v>
      </c>
      <c r="G42" s="4">
        <f ca="1">OFFSET(Loans!$E$9,COLUMN(G40)-2,0,1,1)</f>
        <v>10002.882536472416</v>
      </c>
      <c r="H42" s="4">
        <f ca="1">OFFSET(Loans!$E$9,COLUMN(H40)-2,0,1,1)</f>
        <v>9864.7218046963171</v>
      </c>
      <c r="I42" s="4">
        <f ca="1">OFFSET(Loans!$E$9,COLUMN(I40)-2,0,1,1)</f>
        <v>9725.3521665171775</v>
      </c>
      <c r="J42" s="4">
        <f ca="1">OFFSET(Loans!$E$9,COLUMN(J40)-2,0,1,1)</f>
        <v>9584.7630440039684</v>
      </c>
      <c r="K42" s="4">
        <f ca="1">OFFSET(Loans!$E$9,COLUMN(K40)-2,0,1,1)</f>
        <v>9442.94376666877</v>
      </c>
      <c r="L42" s="4">
        <f ca="1">OFFSET(Loans!$E$9,COLUMN(L40)-2,0,1,1)</f>
        <v>9299.8835706568898</v>
      </c>
      <c r="M42" s="4">
        <f ca="1">OFFSET(Loans!$E$9,COLUMN(M40)-2,0,1,1)</f>
        <v>9155.5715979299039</v>
      </c>
      <c r="N42" s="4">
        <f ca="1">OFFSET(Loans!$E$9,COLUMN(N40)-2,0,1,1)</f>
        <v>9009.9968954415563</v>
      </c>
      <c r="O42" s="58">
        <f ca="1">SUM(C42:N42)</f>
        <v>113845.85264295143</v>
      </c>
      <c r="P42" s="4">
        <f ca="1">OFFSET(Loans!$E$9,COLUMN(P40)-3,0,1,1)</f>
        <v>8863.1484143064354</v>
      </c>
      <c r="Q42" s="4">
        <f ca="1">OFFSET(Loans!$E$9,COLUMN(Q40)-3,0,1,1)</f>
        <v>8715.0150089613835</v>
      </c>
      <c r="R42" s="4">
        <f ca="1">OFFSET(Loans!$E$9,COLUMN(R40)-3,0,1,1)</f>
        <v>8565.5854363195631</v>
      </c>
      <c r="S42" s="4">
        <f ca="1">OFFSET(Loans!$E$9,COLUMN(S40)-3,0,1,1)</f>
        <v>9114.8483549171269</v>
      </c>
      <c r="T42" s="4">
        <f ca="1">OFFSET(Loans!$E$9,COLUMN(T40)-3,0,1,1)</f>
        <v>8953.871593787735</v>
      </c>
      <c r="U42" s="4">
        <f ca="1">OFFSET(Loans!$E$9,COLUMN(U40)-3,0,1,1)</f>
        <v>8791.4862859984623</v>
      </c>
      <c r="V42" s="4">
        <f ca="1">OFFSET(Loans!$E$9,COLUMN(V40)-3,0,1,1)</f>
        <v>8627.6801067660326</v>
      </c>
      <c r="W42" s="4">
        <f ca="1">OFFSET(Loans!$E$9,COLUMN(W40)-3,0,1,1)</f>
        <v>8462.4406234653216</v>
      </c>
      <c r="X42" s="4">
        <f ca="1">OFFSET(Loans!$E$9,COLUMN(X40)-3,0,1,1)</f>
        <v>8295.7552946857268</v>
      </c>
      <c r="Y42" s="4">
        <f ca="1">OFFSET(Loans!$E$9,COLUMN(Y40)-3,0,1,1)</f>
        <v>8127.6114692793117</v>
      </c>
      <c r="Z42" s="4">
        <f ca="1">OFFSET(Loans!$E$9,COLUMN(Z40)-3,0,1,1)</f>
        <v>7957.99638540059</v>
      </c>
      <c r="AA42" s="4">
        <f ca="1">OFFSET(Loans!$E$9,COLUMN(AA40)-3,0,1,1)</f>
        <v>7786.8971695379296</v>
      </c>
      <c r="AB42" s="58">
        <f ca="1">SUM(P42:AA42)</f>
        <v>102262.33614342562</v>
      </c>
      <c r="AC42" s="4">
        <f ca="1">OFFSET(Loans!$E$9,COLUMN(AC40)-4,0,1,1)</f>
        <v>7614.3008355364718</v>
      </c>
      <c r="AD42" s="4">
        <f ca="1">OFFSET(Loans!$E$9,COLUMN(AD40)-4,0,1,1)</f>
        <v>7440.194283612499</v>
      </c>
      <c r="AE42" s="4">
        <f ca="1">OFFSET(Loans!$E$9,COLUMN(AE40)-4,0,1,1)</f>
        <v>7264.5642993591937</v>
      </c>
      <c r="AF42" s="4">
        <f ca="1">OFFSET(Loans!$E$9,COLUMN(AF40)-4,0,1,1)</f>
        <v>7087.3975527436714</v>
      </c>
      <c r="AG42" s="4">
        <f ca="1">OFFSET(Loans!$E$9,COLUMN(AG40)-4,0,1,1)</f>
        <v>7564.9305970952628</v>
      </c>
      <c r="AH42" s="4">
        <f ca="1">OFFSET(Loans!$E$9,COLUMN(AH40)-4,0,1,1)</f>
        <v>7376.2866834617917</v>
      </c>
      <c r="AI42" s="4">
        <f ca="1">OFFSET(Loans!$E$9,COLUMN(AI40)-4,0,1,1)</f>
        <v>7185.992135584027</v>
      </c>
      <c r="AJ42" s="4">
        <f ca="1">OFFSET(Loans!$E$9,COLUMN(AJ40)-4,0,1,1)</f>
        <v>6994.0325104123331</v>
      </c>
      <c r="AK42" s="4">
        <f ca="1">OFFSET(Loans!$E$9,COLUMN(AK40)-4,0,1,1)</f>
        <v>6800.3932385203852</v>
      </c>
      <c r="AL42" s="4">
        <f ca="1">OFFSET(Loans!$E$9,COLUMN(AL40)-4,0,1,1)</f>
        <v>6605.0596229993835</v>
      </c>
      <c r="AM42" s="4">
        <f ca="1">OFFSET(Loans!$E$9,COLUMN(AM40)-4,0,1,1)</f>
        <v>6670.5168383425735</v>
      </c>
      <c r="AN42" s="4">
        <f ca="1">OFFSET(Loans!$E$9,COLUMN(AN40)-4,0,1,1)</f>
        <v>6468.4046554707602</v>
      </c>
      <c r="AO42" s="58">
        <f ca="1">SUM(AC42:AN42)</f>
        <v>85072.073253138355</v>
      </c>
    </row>
    <row r="43" spans="1:41" s="29" customFormat="1" ht="15" customHeight="1" x14ac:dyDescent="0.35">
      <c r="B43" s="26" t="s">
        <v>43</v>
      </c>
      <c r="C43" s="4">
        <f ca="1">IF(SUM($C40:C40)-SUM($C42:C42)&lt;0,0,(SUM($C40:C40)-SUM($C42:C42))*Assumptions!$B$31)</f>
        <v>9507.8666666666668</v>
      </c>
      <c r="D43" s="4">
        <f ca="1">IF(SUM($C40:D40)-SUM($C42:D42)&lt;0,-SUM($C43:C43),((SUM($C40:D40)-SUM($C42:D42))*Assumptions!$B$31)-SUM($C43:C43))</f>
        <v>14764.211478185696</v>
      </c>
      <c r="E43" s="4">
        <f ca="1">IF(SUM($C40:E40)-SUM($C42:E42)&lt;0,-SUM($C43:D43),((SUM($C40:E40)-SUM($C42:E42))*Assumptions!$B$31)-SUM($C43:D43))</f>
        <v>9945.5234734721744</v>
      </c>
      <c r="F43" s="4">
        <f ca="1">IF(SUM($C40:F40)-SUM($C42:F42)&lt;0,-SUM($C43:E43),((SUM($C40:F40)-SUM($C42:F42))*Assumptions!$B$31)-SUM($C43:E43))</f>
        <v>-9182.7280512825782</v>
      </c>
      <c r="G43" s="4">
        <f ca="1">IF(SUM($C40:G40)-SUM($C42:G42)&lt;0,-SUM($C43:F43),((SUM($C40:G40)-SUM($C42:G42))*Assumptions!$B$31)-SUM($C43:F43))</f>
        <v>5948.7262231210589</v>
      </c>
      <c r="H43" s="4">
        <f ca="1">IF(SUM($C40:H40)-SUM($C42:H42)&lt;0,-SUM($C43:G43),((SUM($C40:H40)-SUM($C42:H42))*Assumptions!$B$31)-SUM($C43:G43))</f>
        <v>5869.8112280183705</v>
      </c>
      <c r="I43" s="4">
        <f ca="1">IF(SUM($C40:I40)-SUM($C42:I42)&lt;0,-SUM($C43:H43),((SUM($C40:I40)-SUM($C42:I42))*Assumptions!$B$31)-SUM($C43:H43))</f>
        <v>10971.234726708528</v>
      </c>
      <c r="J43" s="4">
        <f ca="1">IF(SUM($C40:J40)-SUM($C42:J42)&lt;0,-SUM($C43:I43),((SUM($C40:J40)-SUM($C42:J42))*Assumptions!$B$31)-SUM($C43:I43))</f>
        <v>-4955.0003189877825</v>
      </c>
      <c r="K43" s="4">
        <f ca="1">IF(SUM($C40:K40)-SUM($C42:K42)&lt;0,-SUM($C43:J43),((SUM($C40:K40)-SUM($C42:K42))*Assumptions!$B$31)-SUM($C43:J43))</f>
        <v>992.70907866608468</v>
      </c>
      <c r="L43" s="4">
        <f ca="1">IF(SUM($C40:L40)-SUM($C42:L42)&lt;0,-SUM($C43:K43),((SUM($C40:L40)-SUM($C42:L42))*Assumptions!$B$31)-SUM($C43:K43))</f>
        <v>11460.245933549406</v>
      </c>
      <c r="M43" s="4">
        <f ca="1">IF(SUM($C40:M40)-SUM($C42:M42)&lt;0,-SUM($C43:L43),((SUM($C40:M40)-SUM($C42:M42))*Assumptions!$B$31)-SUM($C43:L43))</f>
        <v>13745.973285912965</v>
      </c>
      <c r="N43" s="4">
        <f ca="1">IF(SUM($C40:N40)-SUM($C42:N42)&lt;0,-SUM($C43:M43),((SUM($C40:N40)-SUM($C42:N42))*Assumptions!$B$31)-SUM($C43:M43))</f>
        <v>10745.9342026097</v>
      </c>
      <c r="O43" s="58">
        <f ca="1">SUM(C43:N43)</f>
        <v>79814.50792664029</v>
      </c>
      <c r="P43" s="4">
        <f ca="1">IF(SUM($P40:P40)-SUM($P42:P42)+SUM($C$40:$N$40)-SUM($C$42:$N$42)&lt;0,-SUM($C$43:$N$43),((SUM($P40:P40)-SUM($P42:P42)+SUM($C$40:$N$40)-SUM($C$42:$N$42))*Assumptions!$B$31)-SUM($C$43:$N$43))</f>
        <v>11424.160666216412</v>
      </c>
      <c r="Q43" s="4">
        <f ca="1">IF(SUM($P40:Q40)-SUM($P42:Q42)+SUM($C$40:$N$40)-SUM($C$42:$N$42)&lt;0,-(SUM($C$43:$N43)+SUM($P43:P43)),((SUM($P40:Q40)-SUM($P42:Q42)+SUM($C$40:$N$40)-SUM($C$42:$N$42))*Assumptions!$B$31)-(SUM($C$43:$N43)+SUM($P43:P43)))</f>
        <v>1646.8780197130254</v>
      </c>
      <c r="R43" s="4">
        <f ca="1">IF(SUM($P40:R40)-SUM($P42:R42)+SUM($C$40:$N$40)-SUM($C$42:$N$42)&lt;0,-(SUM($C$43:$N43)+SUM($P43:Q43)),((SUM($P40:R40)-SUM($P42:R42)+SUM($C$40:$N$40)-SUM($C$42:$N$42))*Assumptions!$B$31)-(SUM($C$43:$N43)+SUM($P43:Q43)))</f>
        <v>11141.518300052747</v>
      </c>
      <c r="S43" s="4">
        <f ca="1">IF(SUM($P40:S40)-SUM($P42:S42)+SUM($C$40:$N$40)-SUM($C$42:$N$42)&lt;0,-(SUM($C$43:$N43)+SUM($P43:R43)),((SUM($P40:S40)-SUM($P42:S42)+SUM($C$40:$N$40)-SUM($C$42:$N$42))*Assumptions!$B$31)-(SUM($C$43:$N43)+SUM($P43:R43)))</f>
        <v>7643.1246828454314</v>
      </c>
      <c r="T43" s="4">
        <f ca="1">IF(SUM($P40:T40)-SUM($P42:T42)+SUM($C$40:$N$40)-SUM($C$42:$N$42)&lt;0,-(SUM($C$43:$N43)+SUM($P43:S43)),((SUM($P40:T40)-SUM($P42:T42)+SUM($C$40:$N$40)-SUM($C$42:$N$42))*Assumptions!$B$31)-(SUM($C$43:$N43)+SUM($P43:S43)))</f>
        <v>10829.238175961669</v>
      </c>
      <c r="U43" s="4">
        <f ca="1">IF(SUM($P40:U40)-SUM($P42:U42)+SUM($C$40:$N$40)-SUM($C$42:$N$42)&lt;0,-(SUM($C$43:$N43)+SUM($P43:T43)),((SUM($P40:U40)-SUM($P42:U42)+SUM($C$40:$N$40)-SUM($C$42:$N$42))*Assumptions!$B$31)-(SUM($C$43:$N43)+SUM($P43:T43)))</f>
        <v>-2687.093937857353</v>
      </c>
      <c r="V43" s="4">
        <f ca="1">IF(SUM($P40:V40)-SUM($P42:V42)+SUM($C$40:$N$40)-SUM($C$42:$N$42)&lt;0,-(SUM($C$43:$N43)+SUM($P43:U43)),((SUM($P40:V40)-SUM($P42:V42)+SUM($C$40:$N$40)-SUM($C$42:$N$42))*Assumptions!$B$31)-(SUM($C$43:$N43)+SUM($P43:U43)))</f>
        <v>8646.1317923277384</v>
      </c>
      <c r="W43" s="4">
        <f ca="1">IF(SUM($P40:W40)-SUM($P42:W42)+SUM($C$40:$N$40)-SUM($C$42:$N$42)&lt;0,-(SUM($C$43:$N43)+SUM($P43:V43)),((SUM($P40:W40)-SUM($P42:W42)+SUM($C$40:$N$40)-SUM($C$42:$N$42))*Assumptions!$B$31)-(SUM($C$43:$N43)+SUM($P43:V43)))</f>
        <v>4498.5588476519042</v>
      </c>
      <c r="X43" s="4">
        <f ca="1">IF(SUM($P40:X40)-SUM($P42:X42)+SUM($C$40:$N$40)-SUM($C$42:$N$42)&lt;0,-(SUM($C$43:$N43)+SUM($P43:W43)),((SUM($P40:X40)-SUM($P42:X42)+SUM($C$40:$N$40)-SUM($C$42:$N$42))*Assumptions!$B$31)-(SUM($C$43:$N43)+SUM($P43:W43)))</f>
        <v>8513.6707397102437</v>
      </c>
      <c r="Y43" s="4">
        <f ca="1">IF(SUM($P40:Y40)-SUM($P42:Y42)+SUM($C$40:$N$40)-SUM($C$42:$N$42)&lt;0,-(SUM($C$43:$N43)+SUM($P43:X43)),((SUM($P40:Y40)-SUM($P42:Y42)+SUM($C$40:$N$40)-SUM($C$42:$N$42))*Assumptions!$B$31)-(SUM($C$43:$N43)+SUM($P43:X43)))</f>
        <v>-2614.0489891759935</v>
      </c>
      <c r="Z43" s="4">
        <f ca="1">IF(SUM($P40:Z40)-SUM($P42:Z42)+SUM($C$40:$N$40)-SUM($C$42:$N$42)&lt;0,-(SUM($C$43:$N43)+SUM($P43:Y43)),((SUM($P40:Z40)-SUM($P42:Z42)+SUM($C$40:$N$40)-SUM($C$42:$N$42))*Assumptions!$B$31)-(SUM($C$43:$N43)+SUM($P43:Y43)))</f>
        <v>3775.4432343100489</v>
      </c>
      <c r="AA43" s="4">
        <f ca="1">IF(SUM($P40:AA40)-SUM($P42:AA42)+SUM($C$40:$N$40)-SUM($C$42:$N$42)&lt;0,-(SUM($C$43:$N43)+SUM($P43:Z43)),((SUM($P40:AA40)-SUM($P42:AA42)+SUM($C$40:$N$40)-SUM($C$42:$N$42))*Assumptions!$B$31)-(SUM($C$43:$N43)+SUM($P43:Z43)))</f>
        <v>13445.831014751602</v>
      </c>
      <c r="AB43" s="58">
        <f ca="1">SUM(P43:AA43)</f>
        <v>76263.412546507476</v>
      </c>
      <c r="AC43" s="4">
        <f ca="1">IF(SUM($AC40:AC40)-SUM($AC42:AC42)+SUM($C$40:$N$40)-SUM($C$42:$N$42)+SUM($P$40:$AA$40)-SUM($P$42:$AA$42)&lt;0,-(SUM($C$43:$N$43)+SUM($P$43:$AA$43)),((SUM($AC40:AC40)-SUM($AC42:AC42)+SUM($C$40:$N$40)-SUM($C$42:$N$42)+SUM($P$40:$AA$40)-SUM($P$42:$AA$42))*Assumptions!$B$31)-(SUM($C$43:$N$43)+SUM($P$43:$AA$43)))</f>
        <v>12056.840210494236</v>
      </c>
      <c r="AD43" s="4">
        <f ca="1">IF(SUM($AC40:AD40)-SUM($AC42:AD42)+SUM($C$40:$N$40)-SUM($C$42:$N$42)+SUM($P$40:$AA$40)-SUM($P$42:$AA$42)&lt;0,-(SUM($C$43:$N$43)+SUM($P$43:$AA$43)+SUM($AC$43:AC43)),((SUM($AC40:AD40)-SUM($AC42:AD42)+SUM($C$40:$N$40)-SUM($C$42:$N$42)+SUM($P$40:$AA$40)-SUM($P$42:$AA$42))*Assumptions!$B$31)-(SUM($C$43:$N$43)+SUM($P$43:$AA$43)+SUM($AC$43:AC43)))</f>
        <v>-2334.4766216337448</v>
      </c>
      <c r="AE43" s="4">
        <f ca="1">IF(SUM($AC40:AE40)-SUM($AC42:AE42)+SUM($C$40:$N$40)-SUM($C$42:$N$42)+SUM($P$40:$AA$40)-SUM($P$42:$AA$42)&lt;0,-(SUM($C$43:$N$43)+SUM($P$43:$AA$43)+SUM($AC$43:AD43)),((SUM($AC40:AE40)-SUM($AC42:AE42)+SUM($C$40:$N$40)-SUM($C$42:$N$42)+SUM($P$40:$AA$40)-SUM($P$42:$AA$42))*Assumptions!$B$31)-(SUM($C$43:$N$43)+SUM($P$43:$AA$43)+SUM($AC$43:AD43)))</f>
        <v>7359.299773957202</v>
      </c>
      <c r="AF43" s="4">
        <f ca="1">IF(SUM($AC40:AF40)-SUM($AC42:AF42)+SUM($C$40:$N$40)-SUM($C$42:$N$42)+SUM($P$40:$AA$40)-SUM($P$42:$AA$42)&lt;0,-(SUM($C$43:$N$43)+SUM($P$43:$AA$43)+SUM($AC$43:AE43)),((SUM($AC40:AF40)-SUM($AC42:AF42)+SUM($C$40:$N$40)-SUM($C$42:$N$42)+SUM($P$40:$AA$40)-SUM($P$42:$AA$42))*Assumptions!$B$31)-(SUM($C$43:$N$43)+SUM($P$43:$AA$43)+SUM($AC$43:AE43)))</f>
        <v>6400.9064630095672</v>
      </c>
      <c r="AG43" s="4">
        <f ca="1">IF(SUM($AC40:AG40)-SUM($AC42:AG42)+SUM($C$40:$N$40)-SUM($C$42:$N$42)+SUM($P$40:$AA$40)-SUM($P$42:$AA$42)&lt;0,-(SUM($C$43:$N$43)+SUM($P$43:$AA$43)+SUM($AC$43:AF43)),((SUM($AC40:AG40)-SUM($AC42:AG42)+SUM($C$40:$N$40)-SUM($C$42:$N$42)+SUM($P$40:$AA$40)-SUM($P$42:$AA$42))*Assumptions!$B$31)-(SUM($C$43:$N$43)+SUM($P$43:$AA$43)+SUM($AC$43:AF43)))</f>
        <v>-14931.602789408906</v>
      </c>
      <c r="AH43" s="4">
        <f ca="1">IF(SUM($AC40:AH40)-SUM($AC42:AH42)+SUM($C$40:$N$40)-SUM($C$42:$N$42)+SUM($P$40:$AA$40)-SUM($P$42:$AA$42)&lt;0,-(SUM($C$43:$N$43)+SUM($P$43:$AA$43)+SUM($AC$43:AG43)),((SUM($AC40:AH40)-SUM($AC42:AH42)+SUM($C$40:$N$40)-SUM($C$42:$N$42)+SUM($P$40:$AA$40)-SUM($P$42:$AA$42))*Assumptions!$B$31)-(SUM($C$43:$N$43)+SUM($P$43:$AA$43)+SUM($AC$43:AG43)))</f>
        <v>10023.297506408475</v>
      </c>
      <c r="AI43" s="4">
        <f ca="1">IF(SUM($AC40:AI40)-SUM($AC42:AI42)+SUM($C$40:$N$40)-SUM($C$42:$N$42)+SUM($P$40:$AA$40)-SUM($P$42:$AA$42)&lt;0,-(SUM($C$43:$N$43)+SUM($P$43:$AA$43)+SUM($AC$43:AH43)),((SUM($AC40:AI40)-SUM($AC42:AI42)+SUM($C$40:$N$40)-SUM($C$42:$N$42)+SUM($P$40:$AA$40)-SUM($P$42:$AA$42))*Assumptions!$B$31)-(SUM($C$43:$N$43)+SUM($P$43:$AA$43)+SUM($AC$43:AH43)))</f>
        <v>5703.8199798142596</v>
      </c>
      <c r="AJ43" s="4">
        <f ca="1">IF(SUM($AC40:AJ40)-SUM($AC42:AJ42)+SUM($C$40:$N$40)-SUM($C$42:$N$42)+SUM($P$40:$AA$40)-SUM($P$42:$AA$42)&lt;0,-(SUM($C$43:$N$43)+SUM($P$43:$AA$43)+SUM($AC$43:AI43)),((SUM($AC40:AJ40)-SUM($AC42:AJ42)+SUM($C$40:$N$40)-SUM($C$42:$N$42)+SUM($P$40:$AA$40)-SUM($P$42:$AA$42))*Assumptions!$B$31)-(SUM($C$43:$N$43)+SUM($P$43:$AA$43)+SUM($AC$43:AI43)))</f>
        <v>11220.088674862287</v>
      </c>
      <c r="AK43" s="4">
        <f ca="1">IF(SUM($AC40:AK40)-SUM($AC42:AK42)+SUM($C$40:$N$40)-SUM($C$42:$N$42)+SUM($P$40:$AA$40)-SUM($P$42:$AA$42)&lt;0,-(SUM($C$43:$N$43)+SUM($P$43:$AA$43)+SUM($AC$43:AJ43)),((SUM($AC40:AK40)-SUM($AC42:AK42)+SUM($C$40:$N$40)-SUM($C$42:$N$42)+SUM($P$40:$AA$40)-SUM($P$42:$AA$42))*Assumptions!$B$31)-(SUM($C$43:$N$43)+SUM($P$43:$AA$43)+SUM($AC$43:AJ43)))</f>
        <v>4931.1876709920762</v>
      </c>
      <c r="AL43" s="4">
        <f ca="1">IF(SUM($AC40:AL40)-SUM($AC42:AL42)+SUM($C$40:$N$40)-SUM($C$42:$N$42)+SUM($P$40:$AA$40)-SUM($P$42:$AA$42)&lt;0,-(SUM($C$43:$N$43)+SUM($P$43:$AA$43)+SUM($AC$43:AK43)),((SUM($AC40:AL40)-SUM($AC42:AL42)+SUM($C$40:$N$40)-SUM($C$42:$N$42)+SUM($P$40:$AA$40)-SUM($P$42:$AA$42))*Assumptions!$B$31)-(SUM($C$43:$N$43)+SUM($P$43:$AA$43)+SUM($AC$43:AK43)))</f>
        <v>10114.547750004625</v>
      </c>
      <c r="AM43" s="4">
        <f ca="1">IF(SUM($AC40:AM40)-SUM($AC42:AM42)+SUM($C$40:$N$40)-SUM($C$42:$N$42)+SUM($P$40:$AA$40)-SUM($P$42:$AA$42)&lt;0,-(SUM($C$43:$N$43)+SUM($P$43:$AA$43)+SUM($AC$43:AL43)),((SUM($AC40:AM40)-SUM($AC42:AM42)+SUM($C$40:$N$40)-SUM($C$42:$N$42)+SUM($P$40:$AA$40)-SUM($P$42:$AA$42))*Assumptions!$B$31)-(SUM($C$43:$N$43)+SUM($P$43:$AA$43)+SUM($AC$43:AL43)))</f>
        <v>8736.8197297085135</v>
      </c>
      <c r="AN43" s="4">
        <f ca="1">IF(SUM($AC40:AN40)-SUM($AC42:AN42)+SUM($C$40:$N$40)-SUM($C$42:$N$42)+SUM($P$40:$AA$40)-SUM($P$42:$AA$42)&lt;0,-(SUM($C$43:$N$43)+SUM($P$43:$AA$43)+SUM($AC$43:AM43)),((SUM($AC40:AN40)-SUM($AC42:AN42)+SUM($C$40:$N$40)-SUM($C$42:$N$42)+SUM($P$40:$AA$40)-SUM($P$42:$AA$42))*Assumptions!$B$31)-(SUM($C$43:$N$43)+SUM($P$43:$AA$43)+SUM($AC$43:AM43)))</f>
        <v>10436.451140912657</v>
      </c>
      <c r="AO43" s="58">
        <f ca="1">SUM(AC43:AN43)</f>
        <v>69717.179489121248</v>
      </c>
    </row>
    <row r="44" spans="1:41" ht="15" customHeight="1" x14ac:dyDescent="0.3">
      <c r="C44" s="4"/>
      <c r="D44" s="4"/>
      <c r="E44" s="4"/>
      <c r="F44" s="4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ht="15" customHeight="1" x14ac:dyDescent="0.35">
      <c r="B45" s="43" t="s">
        <v>81</v>
      </c>
      <c r="C45" s="58">
        <f ca="1">SUM(C40,-C42,-C43)</f>
        <v>24448.799999999996</v>
      </c>
      <c r="D45" s="58">
        <f t="shared" ref="D45:AO45" ca="1" si="14">SUM(D40,-D42,-D43)</f>
        <v>37965.115229620351</v>
      </c>
      <c r="E45" s="58">
        <f t="shared" ca="1" si="14"/>
        <v>25574.203217499889</v>
      </c>
      <c r="F45" s="58">
        <f t="shared" ca="1" si="14"/>
        <v>-23612.729274726637</v>
      </c>
      <c r="G45" s="58">
        <f t="shared" ca="1" si="14"/>
        <v>15296.724573739859</v>
      </c>
      <c r="H45" s="58">
        <f t="shared" ca="1" si="14"/>
        <v>15093.800300618648</v>
      </c>
      <c r="I45" s="58">
        <f t="shared" ca="1" si="14"/>
        <v>28211.746440107629</v>
      </c>
      <c r="J45" s="58">
        <f t="shared" ca="1" si="14"/>
        <v>-12741.429391682854</v>
      </c>
      <c r="K45" s="58">
        <f t="shared" ca="1" si="14"/>
        <v>2552.6804879984793</v>
      </c>
      <c r="L45" s="58">
        <f t="shared" ca="1" si="14"/>
        <v>29469.203829127044</v>
      </c>
      <c r="M45" s="58">
        <f t="shared" ca="1" si="14"/>
        <v>35346.788449490465</v>
      </c>
      <c r="N45" s="58">
        <f t="shared" ca="1" si="14"/>
        <v>27632.402235282076</v>
      </c>
      <c r="O45" s="58">
        <f t="shared" ca="1" si="14"/>
        <v>205237.30609707494</v>
      </c>
      <c r="P45" s="58">
        <f t="shared" ca="1" si="14"/>
        <v>29376.41314169937</v>
      </c>
      <c r="Q45" s="58">
        <f t="shared" ca="1" si="14"/>
        <v>4234.8291935478082</v>
      </c>
      <c r="R45" s="58">
        <f t="shared" ca="1" si="14"/>
        <v>28649.618485849911</v>
      </c>
      <c r="S45" s="58">
        <f t="shared" ca="1" si="14"/>
        <v>19653.749184459659</v>
      </c>
      <c r="T45" s="58">
        <f t="shared" ca="1" si="14"/>
        <v>27846.612452472815</v>
      </c>
      <c r="U45" s="58">
        <f t="shared" ca="1" si="14"/>
        <v>-6909.6701259188922</v>
      </c>
      <c r="V45" s="58">
        <f t="shared" ca="1" si="14"/>
        <v>22232.910323128446</v>
      </c>
      <c r="W45" s="58">
        <f t="shared" ca="1" si="14"/>
        <v>11567.722751104993</v>
      </c>
      <c r="X45" s="58">
        <f t="shared" ca="1" si="14"/>
        <v>21892.29618782625</v>
      </c>
      <c r="Y45" s="58">
        <f t="shared" ca="1" si="14"/>
        <v>-6721.8402578811001</v>
      </c>
      <c r="Z45" s="58">
        <f t="shared" ca="1" si="14"/>
        <v>9708.2826025115792</v>
      </c>
      <c r="AA45" s="58">
        <f t="shared" ca="1" si="14"/>
        <v>34574.994037932687</v>
      </c>
      <c r="AB45" s="58">
        <f t="shared" ca="1" si="14"/>
        <v>196105.91797673353</v>
      </c>
      <c r="AC45" s="58">
        <f t="shared" ca="1" si="14"/>
        <v>31003.303398413722</v>
      </c>
      <c r="AD45" s="58">
        <f t="shared" ca="1" si="14"/>
        <v>-6002.9398842009869</v>
      </c>
      <c r="AE45" s="58">
        <f t="shared" ca="1" si="14"/>
        <v>18923.913704461371</v>
      </c>
      <c r="AF45" s="58">
        <f t="shared" ca="1" si="14"/>
        <v>16459.473762024529</v>
      </c>
      <c r="AG45" s="58">
        <f t="shared" ca="1" si="14"/>
        <v>-38395.550029908591</v>
      </c>
      <c r="AH45" s="58">
        <f t="shared" ca="1" si="14"/>
        <v>25774.193587907503</v>
      </c>
      <c r="AI45" s="58">
        <f t="shared" ca="1" si="14"/>
        <v>14666.96566237948</v>
      </c>
      <c r="AJ45" s="58">
        <f t="shared" ca="1" si="14"/>
        <v>28851.656592503146</v>
      </c>
      <c r="AK45" s="58">
        <f t="shared" ca="1" si="14"/>
        <v>12680.196868265306</v>
      </c>
      <c r="AL45" s="58">
        <f t="shared" ca="1" si="14"/>
        <v>26008.837071440423</v>
      </c>
      <c r="AM45" s="58">
        <f t="shared" ca="1" si="14"/>
        <v>22466.107876393344</v>
      </c>
      <c r="AN45" s="58">
        <f t="shared" ca="1" si="14"/>
        <v>26836.588648061013</v>
      </c>
      <c r="AO45" s="58">
        <f t="shared" ca="1" si="14"/>
        <v>179272.7472577403</v>
      </c>
    </row>
    <row r="46" spans="1:41" ht="15" customHeight="1" x14ac:dyDescent="0.35">
      <c r="B46" s="43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</row>
    <row r="47" spans="1:41" ht="15" customHeight="1" x14ac:dyDescent="0.35">
      <c r="B47" s="43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</row>
    <row r="48" spans="1:41" x14ac:dyDescent="0.4">
      <c r="B48" s="1" t="str">
        <f>Assumptions!$B$4</f>
        <v>Example Trading Limited</v>
      </c>
    </row>
    <row r="49" spans="2:41" ht="15" customHeight="1" x14ac:dyDescent="0.35">
      <c r="B49" s="11" t="s">
        <v>85</v>
      </c>
    </row>
    <row r="50" spans="2:41" ht="15" customHeight="1" x14ac:dyDescent="0.3">
      <c r="B50" s="44"/>
    </row>
    <row r="51" spans="2:41" s="51" customFormat="1" ht="18" customHeight="1" x14ac:dyDescent="0.35">
      <c r="B51" s="52"/>
      <c r="C51" s="53">
        <f ca="1">IF(ISBLANK(Assumptions!$B$5)=TRUE,DATE(YEAR(TODAY()),MONTH(TODAY())+1,0),DATE(YEAR(Assumptions!$B$5),MONTH(Assumptions!$B$5)+1,0))</f>
        <v>42460</v>
      </c>
      <c r="D51" s="53">
        <f t="shared" ref="D51:N51" ca="1" si="15">DATE(YEAR(C51),MONTH(C51)+2,0)</f>
        <v>42490</v>
      </c>
      <c r="E51" s="53">
        <f t="shared" ca="1" si="15"/>
        <v>42521</v>
      </c>
      <c r="F51" s="53">
        <f t="shared" ca="1" si="15"/>
        <v>42551</v>
      </c>
      <c r="G51" s="53">
        <f t="shared" ca="1" si="15"/>
        <v>42582</v>
      </c>
      <c r="H51" s="53">
        <f t="shared" ca="1" si="15"/>
        <v>42613</v>
      </c>
      <c r="I51" s="53">
        <f t="shared" ca="1" si="15"/>
        <v>42643</v>
      </c>
      <c r="J51" s="53">
        <f t="shared" ca="1" si="15"/>
        <v>42674</v>
      </c>
      <c r="K51" s="53">
        <f t="shared" ca="1" si="15"/>
        <v>42704</v>
      </c>
      <c r="L51" s="53">
        <f t="shared" ca="1" si="15"/>
        <v>42735</v>
      </c>
      <c r="M51" s="53">
        <f t="shared" ca="1" si="15"/>
        <v>42766</v>
      </c>
      <c r="N51" s="53">
        <f t="shared" ca="1" si="15"/>
        <v>42794</v>
      </c>
      <c r="O51" s="54" t="str">
        <f ca="1">"Year "&amp;YEAR(N51)</f>
        <v>Year 2017</v>
      </c>
      <c r="P51" s="53">
        <f ca="1">DATE(YEAR(N51),MONTH(N51)+2,0)</f>
        <v>42825</v>
      </c>
      <c r="Q51" s="53">
        <f t="shared" ref="Q51:AA51" ca="1" si="16">DATE(YEAR(P51),MONTH(P51)+2,0)</f>
        <v>42855</v>
      </c>
      <c r="R51" s="53">
        <f t="shared" ca="1" si="16"/>
        <v>42886</v>
      </c>
      <c r="S51" s="53">
        <f t="shared" ca="1" si="16"/>
        <v>42916</v>
      </c>
      <c r="T51" s="53">
        <f t="shared" ca="1" si="16"/>
        <v>42947</v>
      </c>
      <c r="U51" s="53">
        <f t="shared" ca="1" si="16"/>
        <v>42978</v>
      </c>
      <c r="V51" s="53">
        <f t="shared" ca="1" si="16"/>
        <v>43008</v>
      </c>
      <c r="W51" s="53">
        <f t="shared" ca="1" si="16"/>
        <v>43039</v>
      </c>
      <c r="X51" s="53">
        <f t="shared" ca="1" si="16"/>
        <v>43069</v>
      </c>
      <c r="Y51" s="53">
        <f t="shared" ca="1" si="16"/>
        <v>43100</v>
      </c>
      <c r="Z51" s="53">
        <f t="shared" ca="1" si="16"/>
        <v>43131</v>
      </c>
      <c r="AA51" s="53">
        <f t="shared" ca="1" si="16"/>
        <v>43159</v>
      </c>
      <c r="AB51" s="54" t="str">
        <f ca="1">"Year "&amp;YEAR(AA51)</f>
        <v>Year 2018</v>
      </c>
      <c r="AC51" s="53">
        <f ca="1">DATE(YEAR(AA51),MONTH(AA51)+2,0)</f>
        <v>43190</v>
      </c>
      <c r="AD51" s="53">
        <f t="shared" ref="AD51:AN51" ca="1" si="17">DATE(YEAR(AC51),MONTH(AC51)+2,0)</f>
        <v>43220</v>
      </c>
      <c r="AE51" s="53">
        <f t="shared" ca="1" si="17"/>
        <v>43251</v>
      </c>
      <c r="AF51" s="53">
        <f t="shared" ca="1" si="17"/>
        <v>43281</v>
      </c>
      <c r="AG51" s="53">
        <f t="shared" ca="1" si="17"/>
        <v>43312</v>
      </c>
      <c r="AH51" s="53">
        <f t="shared" ca="1" si="17"/>
        <v>43343</v>
      </c>
      <c r="AI51" s="53">
        <f t="shared" ca="1" si="17"/>
        <v>43373</v>
      </c>
      <c r="AJ51" s="53">
        <f t="shared" ca="1" si="17"/>
        <v>43404</v>
      </c>
      <c r="AK51" s="53">
        <f t="shared" ca="1" si="17"/>
        <v>43434</v>
      </c>
      <c r="AL51" s="53">
        <f t="shared" ca="1" si="17"/>
        <v>43465</v>
      </c>
      <c r="AM51" s="53">
        <f t="shared" ca="1" si="17"/>
        <v>43496</v>
      </c>
      <c r="AN51" s="53">
        <f t="shared" ca="1" si="17"/>
        <v>43524</v>
      </c>
      <c r="AO51" s="54" t="str">
        <f ca="1">"Year "&amp;YEAR(AN51)</f>
        <v>Year 2019</v>
      </c>
    </row>
    <row r="52" spans="2:41" ht="15" customHeight="1" x14ac:dyDescent="0.35">
      <c r="B52" s="47" t="s">
        <v>86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2:41" ht="15" customHeight="1" x14ac:dyDescent="0.3">
      <c r="B53" s="26" t="s">
        <v>81</v>
      </c>
      <c r="C53" s="4">
        <f ca="1">C45</f>
        <v>24448.799999999996</v>
      </c>
      <c r="D53" s="4">
        <f t="shared" ref="D53:AN53" ca="1" si="18">D45</f>
        <v>37965.115229620351</v>
      </c>
      <c r="E53" s="4">
        <f t="shared" ca="1" si="18"/>
        <v>25574.203217499889</v>
      </c>
      <c r="F53" s="4">
        <f t="shared" ca="1" si="18"/>
        <v>-23612.729274726637</v>
      </c>
      <c r="G53" s="4">
        <f t="shared" ca="1" si="18"/>
        <v>15296.724573739859</v>
      </c>
      <c r="H53" s="4">
        <f t="shared" ca="1" si="18"/>
        <v>15093.800300618648</v>
      </c>
      <c r="I53" s="4">
        <f t="shared" ca="1" si="18"/>
        <v>28211.746440107629</v>
      </c>
      <c r="J53" s="4">
        <f t="shared" ca="1" si="18"/>
        <v>-12741.429391682854</v>
      </c>
      <c r="K53" s="4">
        <f t="shared" ca="1" si="18"/>
        <v>2552.6804879984793</v>
      </c>
      <c r="L53" s="4">
        <f t="shared" ca="1" si="18"/>
        <v>29469.203829127044</v>
      </c>
      <c r="M53" s="4">
        <f t="shared" ca="1" si="18"/>
        <v>35346.788449490465</v>
      </c>
      <c r="N53" s="4">
        <f t="shared" ca="1" si="18"/>
        <v>27632.402235282076</v>
      </c>
      <c r="O53" s="4">
        <f ca="1">SUM(C53:N53)</f>
        <v>205237.30609707499</v>
      </c>
      <c r="P53" s="4">
        <f t="shared" ca="1" si="18"/>
        <v>29376.41314169937</v>
      </c>
      <c r="Q53" s="4">
        <f t="shared" ca="1" si="18"/>
        <v>4234.8291935478082</v>
      </c>
      <c r="R53" s="4">
        <f t="shared" ca="1" si="18"/>
        <v>28649.618485849911</v>
      </c>
      <c r="S53" s="4">
        <f t="shared" ca="1" si="18"/>
        <v>19653.749184459659</v>
      </c>
      <c r="T53" s="4">
        <f t="shared" ca="1" si="18"/>
        <v>27846.612452472815</v>
      </c>
      <c r="U53" s="4">
        <f t="shared" ca="1" si="18"/>
        <v>-6909.6701259188922</v>
      </c>
      <c r="V53" s="4">
        <f t="shared" ca="1" si="18"/>
        <v>22232.910323128446</v>
      </c>
      <c r="W53" s="4">
        <f t="shared" ca="1" si="18"/>
        <v>11567.722751104993</v>
      </c>
      <c r="X53" s="4">
        <f t="shared" ca="1" si="18"/>
        <v>21892.29618782625</v>
      </c>
      <c r="Y53" s="4">
        <f t="shared" ca="1" si="18"/>
        <v>-6721.8402578811001</v>
      </c>
      <c r="Z53" s="4">
        <f t="shared" ca="1" si="18"/>
        <v>9708.2826025115792</v>
      </c>
      <c r="AA53" s="4">
        <f t="shared" ca="1" si="18"/>
        <v>34574.994037932687</v>
      </c>
      <c r="AB53" s="4">
        <f ca="1">SUM(P53:AA53)</f>
        <v>196105.91797673356</v>
      </c>
      <c r="AC53" s="4">
        <f t="shared" ca="1" si="18"/>
        <v>31003.303398413722</v>
      </c>
      <c r="AD53" s="4">
        <f t="shared" ca="1" si="18"/>
        <v>-6002.9398842009869</v>
      </c>
      <c r="AE53" s="4">
        <f t="shared" ca="1" si="18"/>
        <v>18923.913704461371</v>
      </c>
      <c r="AF53" s="4">
        <f t="shared" ca="1" si="18"/>
        <v>16459.473762024529</v>
      </c>
      <c r="AG53" s="4">
        <f t="shared" ca="1" si="18"/>
        <v>-38395.550029908591</v>
      </c>
      <c r="AH53" s="4">
        <f t="shared" ca="1" si="18"/>
        <v>25774.193587907503</v>
      </c>
      <c r="AI53" s="4">
        <f t="shared" ca="1" si="18"/>
        <v>14666.96566237948</v>
      </c>
      <c r="AJ53" s="4">
        <f t="shared" ca="1" si="18"/>
        <v>28851.656592503146</v>
      </c>
      <c r="AK53" s="4">
        <f t="shared" ca="1" si="18"/>
        <v>12680.196868265306</v>
      </c>
      <c r="AL53" s="4">
        <f t="shared" ca="1" si="18"/>
        <v>26008.837071440423</v>
      </c>
      <c r="AM53" s="4">
        <f t="shared" ca="1" si="18"/>
        <v>22466.107876393344</v>
      </c>
      <c r="AN53" s="4">
        <f t="shared" ca="1" si="18"/>
        <v>26836.588648061013</v>
      </c>
      <c r="AO53" s="4">
        <f ca="1">SUM(AC53:AN53)</f>
        <v>179272.74725774024</v>
      </c>
    </row>
    <row r="54" spans="2:41" ht="15" customHeight="1" x14ac:dyDescent="0.3">
      <c r="B54" s="26" t="s">
        <v>50</v>
      </c>
      <c r="C54" s="4">
        <f ca="1">C42</f>
        <v>9625</v>
      </c>
      <c r="D54" s="4">
        <f t="shared" ref="D54:AN54" ca="1" si="19">D42</f>
        <v>9502.3399588606189</v>
      </c>
      <c r="E54" s="4">
        <f t="shared" ca="1" si="19"/>
        <v>9378.6066423612701</v>
      </c>
      <c r="F54" s="4">
        <f t="shared" ca="1" si="19"/>
        <v>9253.7906593425487</v>
      </c>
      <c r="G54" s="4">
        <f t="shared" ca="1" si="19"/>
        <v>10002.882536472416</v>
      </c>
      <c r="H54" s="4">
        <f t="shared" ca="1" si="19"/>
        <v>9864.7218046963171</v>
      </c>
      <c r="I54" s="4">
        <f t="shared" ca="1" si="19"/>
        <v>9725.3521665171775</v>
      </c>
      <c r="J54" s="4">
        <f t="shared" ca="1" si="19"/>
        <v>9584.7630440039684</v>
      </c>
      <c r="K54" s="4">
        <f t="shared" ca="1" si="19"/>
        <v>9442.94376666877</v>
      </c>
      <c r="L54" s="4">
        <f t="shared" ca="1" si="19"/>
        <v>9299.8835706568898</v>
      </c>
      <c r="M54" s="4">
        <f t="shared" ca="1" si="19"/>
        <v>9155.5715979299039</v>
      </c>
      <c r="N54" s="4">
        <f t="shared" ca="1" si="19"/>
        <v>9009.9968954415563</v>
      </c>
      <c r="O54" s="4">
        <f ca="1">SUM(C54:N54)</f>
        <v>113845.85264295143</v>
      </c>
      <c r="P54" s="4">
        <f t="shared" ca="1" si="19"/>
        <v>8863.1484143064354</v>
      </c>
      <c r="Q54" s="4">
        <f t="shared" ca="1" si="19"/>
        <v>8715.0150089613835</v>
      </c>
      <c r="R54" s="4">
        <f t="shared" ca="1" si="19"/>
        <v>8565.5854363195631</v>
      </c>
      <c r="S54" s="4">
        <f t="shared" ca="1" si="19"/>
        <v>9114.8483549171269</v>
      </c>
      <c r="T54" s="4">
        <f t="shared" ca="1" si="19"/>
        <v>8953.871593787735</v>
      </c>
      <c r="U54" s="4">
        <f t="shared" ca="1" si="19"/>
        <v>8791.4862859984623</v>
      </c>
      <c r="V54" s="4">
        <f t="shared" ca="1" si="19"/>
        <v>8627.6801067660326</v>
      </c>
      <c r="W54" s="4">
        <f t="shared" ca="1" si="19"/>
        <v>8462.4406234653216</v>
      </c>
      <c r="X54" s="4">
        <f t="shared" ca="1" si="19"/>
        <v>8295.7552946857268</v>
      </c>
      <c r="Y54" s="4">
        <f t="shared" ca="1" si="19"/>
        <v>8127.6114692793117</v>
      </c>
      <c r="Z54" s="4">
        <f t="shared" ca="1" si="19"/>
        <v>7957.99638540059</v>
      </c>
      <c r="AA54" s="4">
        <f t="shared" ca="1" si="19"/>
        <v>7786.8971695379296</v>
      </c>
      <c r="AB54" s="4">
        <f ca="1">SUM(P54:AA54)</f>
        <v>102262.33614342562</v>
      </c>
      <c r="AC54" s="4">
        <f t="shared" ca="1" si="19"/>
        <v>7614.3008355364718</v>
      </c>
      <c r="AD54" s="4">
        <f t="shared" ca="1" si="19"/>
        <v>7440.194283612499</v>
      </c>
      <c r="AE54" s="4">
        <f t="shared" ca="1" si="19"/>
        <v>7264.5642993591937</v>
      </c>
      <c r="AF54" s="4">
        <f t="shared" ca="1" si="19"/>
        <v>7087.3975527436714</v>
      </c>
      <c r="AG54" s="4">
        <f t="shared" ca="1" si="19"/>
        <v>7564.9305970952628</v>
      </c>
      <c r="AH54" s="4">
        <f t="shared" ca="1" si="19"/>
        <v>7376.2866834617917</v>
      </c>
      <c r="AI54" s="4">
        <f t="shared" ca="1" si="19"/>
        <v>7185.992135584027</v>
      </c>
      <c r="AJ54" s="4">
        <f t="shared" ca="1" si="19"/>
        <v>6994.0325104123331</v>
      </c>
      <c r="AK54" s="4">
        <f t="shared" ca="1" si="19"/>
        <v>6800.3932385203852</v>
      </c>
      <c r="AL54" s="4">
        <f t="shared" ca="1" si="19"/>
        <v>6605.0596229993835</v>
      </c>
      <c r="AM54" s="4">
        <f t="shared" ca="1" si="19"/>
        <v>6670.5168383425735</v>
      </c>
      <c r="AN54" s="4">
        <f t="shared" ca="1" si="19"/>
        <v>6468.4046554707602</v>
      </c>
      <c r="AO54" s="4">
        <f ca="1">SUM(AC54:AN54)</f>
        <v>85072.073253138355</v>
      </c>
    </row>
    <row r="55" spans="2:41" ht="15" customHeight="1" x14ac:dyDescent="0.3">
      <c r="B55" s="26" t="s">
        <v>43</v>
      </c>
      <c r="C55" s="4">
        <f ca="1">C43</f>
        <v>9507.8666666666668</v>
      </c>
      <c r="D55" s="4">
        <f t="shared" ref="D55:AN55" ca="1" si="20">D43</f>
        <v>14764.211478185696</v>
      </c>
      <c r="E55" s="4">
        <f t="shared" ca="1" si="20"/>
        <v>9945.5234734721744</v>
      </c>
      <c r="F55" s="4">
        <f t="shared" ca="1" si="20"/>
        <v>-9182.7280512825782</v>
      </c>
      <c r="G55" s="4">
        <f t="shared" ca="1" si="20"/>
        <v>5948.7262231210589</v>
      </c>
      <c r="H55" s="4">
        <f t="shared" ca="1" si="20"/>
        <v>5869.8112280183705</v>
      </c>
      <c r="I55" s="4">
        <f t="shared" ca="1" si="20"/>
        <v>10971.234726708528</v>
      </c>
      <c r="J55" s="4">
        <f t="shared" ca="1" si="20"/>
        <v>-4955.0003189877825</v>
      </c>
      <c r="K55" s="4">
        <f t="shared" ca="1" si="20"/>
        <v>992.70907866608468</v>
      </c>
      <c r="L55" s="4">
        <f t="shared" ca="1" si="20"/>
        <v>11460.245933549406</v>
      </c>
      <c r="M55" s="4">
        <f t="shared" ca="1" si="20"/>
        <v>13745.973285912965</v>
      </c>
      <c r="N55" s="4">
        <f t="shared" ca="1" si="20"/>
        <v>10745.9342026097</v>
      </c>
      <c r="O55" s="4">
        <f ca="1">SUM(C55:N55)</f>
        <v>79814.50792664029</v>
      </c>
      <c r="P55" s="4">
        <f t="shared" ca="1" si="20"/>
        <v>11424.160666216412</v>
      </c>
      <c r="Q55" s="4">
        <f t="shared" ca="1" si="20"/>
        <v>1646.8780197130254</v>
      </c>
      <c r="R55" s="4">
        <f t="shared" ca="1" si="20"/>
        <v>11141.518300052747</v>
      </c>
      <c r="S55" s="4">
        <f t="shared" ca="1" si="20"/>
        <v>7643.1246828454314</v>
      </c>
      <c r="T55" s="4">
        <f t="shared" ca="1" si="20"/>
        <v>10829.238175961669</v>
      </c>
      <c r="U55" s="4">
        <f t="shared" ca="1" si="20"/>
        <v>-2687.093937857353</v>
      </c>
      <c r="V55" s="4">
        <f t="shared" ca="1" si="20"/>
        <v>8646.1317923277384</v>
      </c>
      <c r="W55" s="4">
        <f t="shared" ca="1" si="20"/>
        <v>4498.5588476519042</v>
      </c>
      <c r="X55" s="4">
        <f t="shared" ca="1" si="20"/>
        <v>8513.6707397102437</v>
      </c>
      <c r="Y55" s="4">
        <f t="shared" ca="1" si="20"/>
        <v>-2614.0489891759935</v>
      </c>
      <c r="Z55" s="4">
        <f t="shared" ca="1" si="20"/>
        <v>3775.4432343100489</v>
      </c>
      <c r="AA55" s="4">
        <f t="shared" ca="1" si="20"/>
        <v>13445.831014751602</v>
      </c>
      <c r="AB55" s="4">
        <f ca="1">SUM(P55:AA55)</f>
        <v>76263.412546507476</v>
      </c>
      <c r="AC55" s="4">
        <f t="shared" ca="1" si="20"/>
        <v>12056.840210494236</v>
      </c>
      <c r="AD55" s="4">
        <f t="shared" ca="1" si="20"/>
        <v>-2334.4766216337448</v>
      </c>
      <c r="AE55" s="4">
        <f t="shared" ca="1" si="20"/>
        <v>7359.299773957202</v>
      </c>
      <c r="AF55" s="4">
        <f t="shared" ca="1" si="20"/>
        <v>6400.9064630095672</v>
      </c>
      <c r="AG55" s="4">
        <f t="shared" ca="1" si="20"/>
        <v>-14931.602789408906</v>
      </c>
      <c r="AH55" s="4">
        <f t="shared" ca="1" si="20"/>
        <v>10023.297506408475</v>
      </c>
      <c r="AI55" s="4">
        <f t="shared" ca="1" si="20"/>
        <v>5703.8199798142596</v>
      </c>
      <c r="AJ55" s="4">
        <f t="shared" ca="1" si="20"/>
        <v>11220.088674862287</v>
      </c>
      <c r="AK55" s="4">
        <f t="shared" ca="1" si="20"/>
        <v>4931.1876709920762</v>
      </c>
      <c r="AL55" s="4">
        <f t="shared" ca="1" si="20"/>
        <v>10114.547750004625</v>
      </c>
      <c r="AM55" s="4">
        <f t="shared" ca="1" si="20"/>
        <v>8736.8197297085135</v>
      </c>
      <c r="AN55" s="4">
        <f t="shared" ca="1" si="20"/>
        <v>10436.451140912657</v>
      </c>
      <c r="AO55" s="4">
        <f ca="1">SUM(AC55:AN55)</f>
        <v>69717.179489121248</v>
      </c>
    </row>
    <row r="56" spans="2:41" ht="15" customHeight="1" x14ac:dyDescent="0.35">
      <c r="B56" s="10" t="s">
        <v>87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2:41" ht="15" customHeight="1" x14ac:dyDescent="0.3">
      <c r="B57" s="5" t="s">
        <v>80</v>
      </c>
      <c r="C57" s="4">
        <f>C38</f>
        <v>13333.333333333334</v>
      </c>
      <c r="D57" s="4">
        <f t="shared" ref="D57:AN57" si="21">D38</f>
        <v>13333.333333333334</v>
      </c>
      <c r="E57" s="4">
        <f t="shared" si="21"/>
        <v>14166.666666666666</v>
      </c>
      <c r="F57" s="4">
        <f t="shared" si="21"/>
        <v>14166.666666666666</v>
      </c>
      <c r="G57" s="4">
        <f t="shared" si="21"/>
        <v>14166.666666666666</v>
      </c>
      <c r="H57" s="4">
        <f t="shared" si="21"/>
        <v>15416.666666666666</v>
      </c>
      <c r="I57" s="4">
        <f t="shared" si="21"/>
        <v>15416.666666666666</v>
      </c>
      <c r="J57" s="4">
        <f t="shared" si="21"/>
        <v>15416.666666666666</v>
      </c>
      <c r="K57" s="4">
        <f t="shared" si="21"/>
        <v>15416.666666666666</v>
      </c>
      <c r="L57" s="4">
        <f t="shared" si="21"/>
        <v>15416.666666666666</v>
      </c>
      <c r="M57" s="4">
        <f t="shared" si="21"/>
        <v>15416.666666666666</v>
      </c>
      <c r="N57" s="4">
        <f t="shared" si="21"/>
        <v>15416.666666666666</v>
      </c>
      <c r="O57" s="4">
        <f>SUM(C57:N57)</f>
        <v>177083.33333333334</v>
      </c>
      <c r="P57" s="4">
        <f t="shared" si="21"/>
        <v>13715.277777777783</v>
      </c>
      <c r="Q57" s="4">
        <f t="shared" si="21"/>
        <v>13715.277777777783</v>
      </c>
      <c r="R57" s="4">
        <f t="shared" si="21"/>
        <v>13715.277777777783</v>
      </c>
      <c r="S57" s="4">
        <f t="shared" si="21"/>
        <v>13715.277777777783</v>
      </c>
      <c r="T57" s="4">
        <f t="shared" si="21"/>
        <v>13715.277777777783</v>
      </c>
      <c r="U57" s="4">
        <f t="shared" si="21"/>
        <v>13715.277777777783</v>
      </c>
      <c r="V57" s="4">
        <f t="shared" si="21"/>
        <v>13715.277777777783</v>
      </c>
      <c r="W57" s="4">
        <f t="shared" si="21"/>
        <v>14215.277777777783</v>
      </c>
      <c r="X57" s="4">
        <f t="shared" si="21"/>
        <v>14215.277777777783</v>
      </c>
      <c r="Y57" s="4">
        <f t="shared" si="21"/>
        <v>14215.277777777783</v>
      </c>
      <c r="Z57" s="4">
        <f t="shared" si="21"/>
        <v>14215.277777777783</v>
      </c>
      <c r="AA57" s="4">
        <f t="shared" si="21"/>
        <v>14215.277777777783</v>
      </c>
      <c r="AB57" s="4">
        <f>SUM(P57:AA57)</f>
        <v>167083.3333333334</v>
      </c>
      <c r="AC57" s="4">
        <f t="shared" si="21"/>
        <v>11430.555555555567</v>
      </c>
      <c r="AD57" s="4">
        <f t="shared" si="21"/>
        <v>12797.222222222234</v>
      </c>
      <c r="AE57" s="4">
        <f t="shared" si="21"/>
        <v>12797.222222222234</v>
      </c>
      <c r="AF57" s="4">
        <f t="shared" si="21"/>
        <v>12797.222222222234</v>
      </c>
      <c r="AG57" s="4">
        <f t="shared" si="21"/>
        <v>12797.222222222234</v>
      </c>
      <c r="AH57" s="4">
        <f t="shared" si="21"/>
        <v>12797.222222222234</v>
      </c>
      <c r="AI57" s="4">
        <f t="shared" si="21"/>
        <v>12797.222222222234</v>
      </c>
      <c r="AJ57" s="4">
        <f t="shared" si="21"/>
        <v>12797.222222222234</v>
      </c>
      <c r="AK57" s="4">
        <f t="shared" si="21"/>
        <v>12797.222222222234</v>
      </c>
      <c r="AL57" s="4">
        <f t="shared" si="21"/>
        <v>14380.555555555567</v>
      </c>
      <c r="AM57" s="4">
        <f t="shared" si="21"/>
        <v>14380.555555555567</v>
      </c>
      <c r="AN57" s="4">
        <f t="shared" si="21"/>
        <v>14380.555555555567</v>
      </c>
      <c r="AO57" s="4">
        <f>SUM(AC57:AN57)</f>
        <v>156950.00000000015</v>
      </c>
    </row>
    <row r="58" spans="2:41" ht="15" customHeight="1" x14ac:dyDescent="0.35">
      <c r="B58" s="11" t="s">
        <v>88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2:41" s="29" customFormat="1" ht="15" customHeight="1" x14ac:dyDescent="0.3">
      <c r="B59" s="26" t="s">
        <v>27</v>
      </c>
      <c r="C59" s="4">
        <f ca="1">BalanceSheets!C8-BalanceSheets!D8</f>
        <v>-17258.06451612903</v>
      </c>
      <c r="D59" s="4">
        <f ca="1">BalanceSheets!D8-BalanceSheets!E8</f>
        <v>-24075.268817204284</v>
      </c>
      <c r="E59" s="4">
        <f ca="1">BalanceSheets!E8-BalanceSheets!F8</f>
        <v>13591.397849462344</v>
      </c>
      <c r="F59" s="4">
        <f ca="1">BalanceSheets!F8-BalanceSheets!G8</f>
        <v>-3458.0645161290304</v>
      </c>
      <c r="G59" s="4">
        <f ca="1">BalanceSheets!G8-BalanceSheets!H8</f>
        <v>16240.322580645181</v>
      </c>
      <c r="H59" s="4">
        <f ca="1">BalanceSheets!H8-BalanceSheets!I8</f>
        <v>-7620.9677419354848</v>
      </c>
      <c r="I59" s="4">
        <f ca="1">BalanceSheets!I8-BalanceSheets!J8</f>
        <v>-2794.3548387096962</v>
      </c>
      <c r="J59" s="4">
        <f ca="1">BalanceSheets!J8-BalanceSheets!K8</f>
        <v>12955.645161290304</v>
      </c>
      <c r="K59" s="4">
        <f ca="1">BalanceSheets!K8-BalanceSheets!L8</f>
        <v>-15580.645161290304</v>
      </c>
      <c r="L59" s="4">
        <f ca="1">BalanceSheets!L8-BalanceSheets!M8</f>
        <v>338.70967741936329</v>
      </c>
      <c r="M59" s="4">
        <f ca="1">BalanceSheets!M8-BalanceSheets!N8</f>
        <v>1016.1290322580608</v>
      </c>
      <c r="N59" s="4">
        <f ca="1">BalanceSheets!N8-BalanceSheets!O8</f>
        <v>-7729.838709677424</v>
      </c>
      <c r="O59" s="4">
        <f ca="1">SUM(C59:N59)</f>
        <v>-34375</v>
      </c>
      <c r="P59" s="4">
        <f ca="1">BalanceSheets!O8-BalanceSheets!P8</f>
        <v>-3447.5806451613025</v>
      </c>
      <c r="Q59" s="4">
        <f ca="1">BalanceSheets!P8-BalanceSheets!Q8</f>
        <v>9822.5806451613025</v>
      </c>
      <c r="R59" s="4">
        <f ca="1">BalanceSheets!Q8-BalanceSheets!R8</f>
        <v>-7282.2580645161215</v>
      </c>
      <c r="S59" s="4">
        <f ca="1">BalanceSheets!R8-BalanceSheets!S8</f>
        <v>-10567.741935483878</v>
      </c>
      <c r="T59" s="4">
        <f ca="1">BalanceSheets!S8-BalanceSheets!T8</f>
        <v>9551.6129032258177</v>
      </c>
      <c r="U59" s="4">
        <f ca="1">BalanceSheets!T8-BalanceSheets!U8</f>
        <v>21298.387096774182</v>
      </c>
      <c r="V59" s="4">
        <f ca="1">BalanceSheets!U8-BalanceSheets!V8</f>
        <v>-7750</v>
      </c>
      <c r="W59" s="4">
        <f ca="1">BalanceSheets!V8-BalanceSheets!W8</f>
        <v>-12250</v>
      </c>
      <c r="X59" s="4">
        <f ca="1">BalanceSheets!W8-BalanceSheets!X8</f>
        <v>366.66666666668607</v>
      </c>
      <c r="Y59" s="4">
        <f ca="1">BalanceSheets!X8-BalanceSheets!Y8</f>
        <v>-6366.6666666666861</v>
      </c>
      <c r="Z59" s="4">
        <f ca="1">BalanceSheets!Y8-BalanceSheets!Z8</f>
        <v>2500</v>
      </c>
      <c r="AA59" s="4">
        <f ca="1">BalanceSheets!Z8-BalanceSheets!AA8</f>
        <v>-13758.92857142858</v>
      </c>
      <c r="AB59" s="4">
        <f ca="1">SUM(P59:AA59)</f>
        <v>-17883.92857142858</v>
      </c>
      <c r="AC59" s="4">
        <f ca="1">BalanceSheets!AA8-BalanceSheets!AB8</f>
        <v>17097.638248847943</v>
      </c>
      <c r="AD59" s="4">
        <f ca="1">BalanceSheets!AB8-BalanceSheets!AC8</f>
        <v>-8838.7096774193633</v>
      </c>
      <c r="AE59" s="4">
        <f ca="1">BalanceSheets!AC8-BalanceSheets!AD8</f>
        <v>15129.032258064515</v>
      </c>
      <c r="AF59" s="4">
        <f ca="1">BalanceSheets!AD8-BalanceSheets!AE8</f>
        <v>-16129.032258064515</v>
      </c>
      <c r="AG59" s="4">
        <f ca="1">BalanceSheets!AE8-BalanceSheets!AF8</f>
        <v>8870.9677419354848</v>
      </c>
      <c r="AH59" s="4">
        <f ca="1">BalanceSheets!AF8-BalanceSheets!AG8</f>
        <v>-8225.8064516129089</v>
      </c>
      <c r="AI59" s="4">
        <f ca="1">BalanceSheets!AG8-BalanceSheets!AH8</f>
        <v>-10145.161290322576</v>
      </c>
      <c r="AJ59" s="4">
        <f ca="1">BalanceSheets!AH8-BalanceSheets!AI8</f>
        <v>14500</v>
      </c>
      <c r="AK59" s="4">
        <f ca="1">BalanceSheets!AI8-BalanceSheets!AJ8</f>
        <v>-10000</v>
      </c>
      <c r="AL59" s="4">
        <f ca="1">BalanceSheets!AJ8-BalanceSheets!AK8</f>
        <v>3709.677419354819</v>
      </c>
      <c r="AM59" s="4">
        <f ca="1">BalanceSheets!AK8-BalanceSheets!AL8</f>
        <v>5322.5806451613025</v>
      </c>
      <c r="AN59" s="4">
        <f ca="1">BalanceSheets!AL8-BalanceSheets!AM8</f>
        <v>-27960.829493087542</v>
      </c>
      <c r="AO59" s="4">
        <f ca="1">SUM(AC59:AN59)</f>
        <v>-16669.642857142841</v>
      </c>
    </row>
    <row r="60" spans="2:41" s="29" customFormat="1" ht="15" customHeight="1" x14ac:dyDescent="0.3">
      <c r="B60" s="26" t="s">
        <v>89</v>
      </c>
      <c r="C60" s="4">
        <f ca="1">BalanceSheets!C9-BalanceSheets!D9</f>
        <v>-40322.580645161332</v>
      </c>
      <c r="D60" s="4">
        <f ca="1">BalanceSheets!D9-BalanceSheets!E9</f>
        <v>-49677.419354838668</v>
      </c>
      <c r="E60" s="4">
        <f ca="1">BalanceSheets!E9-BalanceSheets!F9</f>
        <v>30322.580645161332</v>
      </c>
      <c r="F60" s="4">
        <f ca="1">BalanceSheets!F9-BalanceSheets!G9</f>
        <v>-11322.580645161332</v>
      </c>
      <c r="G60" s="4">
        <f ca="1">BalanceSheets!G9-BalanceSheets!H9</f>
        <v>25838.709677419392</v>
      </c>
      <c r="H60" s="4">
        <f ca="1">BalanceSheets!H9-BalanceSheets!I9</f>
        <v>-14516.129032258061</v>
      </c>
      <c r="I60" s="4">
        <f ca="1">BalanceSheets!I9-BalanceSheets!J9</f>
        <v>-5322.5806451613316</v>
      </c>
      <c r="J60" s="4">
        <f ca="1">BalanceSheets!J9-BalanceSheets!K9</f>
        <v>24677.419354838668</v>
      </c>
      <c r="K60" s="4">
        <f ca="1">BalanceSheets!K9-BalanceSheets!L9</f>
        <v>-29677.419354838668</v>
      </c>
      <c r="L60" s="4">
        <f ca="1">BalanceSheets!L9-BalanceSheets!M9</f>
        <v>645.16129032254685</v>
      </c>
      <c r="M60" s="4">
        <f ca="1">BalanceSheets!M9-BalanceSheets!N9</f>
        <v>1935.4838709678152</v>
      </c>
      <c r="N60" s="4">
        <f ca="1">BalanceSheets!N9-BalanceSheets!O9</f>
        <v>-14723.502304147463</v>
      </c>
      <c r="O60" s="4">
        <f ca="1">SUM(C60:N60)</f>
        <v>-82142.857142857101</v>
      </c>
      <c r="P60" s="4">
        <f ca="1">BalanceSheets!O9-BalanceSheets!P9</f>
        <v>-6566.8202764977468</v>
      </c>
      <c r="Q60" s="4">
        <f ca="1">BalanceSheets!P9-BalanceSheets!Q9</f>
        <v>18709.677419354848</v>
      </c>
      <c r="R60" s="4">
        <f ca="1">BalanceSheets!Q9-BalanceSheets!R9</f>
        <v>-13870.967741935514</v>
      </c>
      <c r="S60" s="4">
        <f ca="1">BalanceSheets!R9-BalanceSheets!S9</f>
        <v>-20129.032258064486</v>
      </c>
      <c r="T60" s="4">
        <f ca="1">BalanceSheets!S9-BalanceSheets!T9</f>
        <v>18193.548387096787</v>
      </c>
      <c r="U60" s="4">
        <f ca="1">BalanceSheets!T9-BalanceSheets!U9</f>
        <v>35806.451612903213</v>
      </c>
      <c r="V60" s="4">
        <f ca="1">BalanceSheets!U9-BalanceSheets!V9</f>
        <v>-15000</v>
      </c>
      <c r="W60" s="4">
        <f ca="1">BalanceSheets!V9-BalanceSheets!W9</f>
        <v>-23709.677419354848</v>
      </c>
      <c r="X60" s="4">
        <f ca="1">BalanceSheets!W9-BalanceSheets!X9</f>
        <v>709.6774193548481</v>
      </c>
      <c r="Y60" s="4">
        <f ca="1">BalanceSheets!X9-BalanceSheets!Y9</f>
        <v>-12322.580645161332</v>
      </c>
      <c r="Z60" s="4">
        <f ca="1">BalanceSheets!Y9-BalanceSheets!Z9</f>
        <v>4838.7096774193924</v>
      </c>
      <c r="AA60" s="4">
        <f ca="1">BalanceSheets!Z9-BalanceSheets!AA9</f>
        <v>-32730.414746543742</v>
      </c>
      <c r="AB60" s="4">
        <f ca="1">SUM(P60:AA60)</f>
        <v>-46071.42857142858</v>
      </c>
      <c r="AC60" s="4">
        <f ca="1">BalanceSheets!AA9-BalanceSheets!AB9</f>
        <v>27891.705069124349</v>
      </c>
      <c r="AD60" s="4">
        <f ca="1">BalanceSheets!AB9-BalanceSheets!AC9</f>
        <v>-17677.419354838668</v>
      </c>
      <c r="AE60" s="4">
        <f ca="1">BalanceSheets!AC9-BalanceSheets!AD9</f>
        <v>30258.06451612903</v>
      </c>
      <c r="AF60" s="4">
        <f ca="1">BalanceSheets!AD9-BalanceSheets!AE9</f>
        <v>-32258.06451612903</v>
      </c>
      <c r="AG60" s="4">
        <f ca="1">BalanceSheets!AE9-BalanceSheets!AF9</f>
        <v>17741.93548387097</v>
      </c>
      <c r="AH60" s="4">
        <f ca="1">BalanceSheets!AF9-BalanceSheets!AG9</f>
        <v>-16451.612903225818</v>
      </c>
      <c r="AI60" s="4">
        <f ca="1">BalanceSheets!AG9-BalanceSheets!AH9</f>
        <v>-20290.322580645152</v>
      </c>
      <c r="AJ60" s="4">
        <f ca="1">BalanceSheets!AH9-BalanceSheets!AI9</f>
        <v>29000</v>
      </c>
      <c r="AK60" s="4">
        <f ca="1">BalanceSheets!AI9-BalanceSheets!AJ9</f>
        <v>-20000</v>
      </c>
      <c r="AL60" s="4">
        <f ca="1">BalanceSheets!AJ9-BalanceSheets!AK9</f>
        <v>7419.354838709638</v>
      </c>
      <c r="AM60" s="4">
        <f ca="1">BalanceSheets!AK9-BalanceSheets!AL9</f>
        <v>10645.161290322605</v>
      </c>
      <c r="AN60" s="4">
        <f ca="1">BalanceSheets!AL9-BalanceSheets!AM9</f>
        <v>-55921.658986175142</v>
      </c>
      <c r="AO60" s="4">
        <f ca="1">SUM(AC60:AN60)</f>
        <v>-39642.857142857218</v>
      </c>
    </row>
    <row r="61" spans="2:41" s="29" customFormat="1" ht="15" customHeight="1" x14ac:dyDescent="0.3">
      <c r="B61" s="26" t="s">
        <v>90</v>
      </c>
      <c r="C61" s="4">
        <f ca="1">BalanceSheets!D17-BalanceSheets!C17</f>
        <v>7621.7741935483791</v>
      </c>
      <c r="D61" s="4">
        <f ca="1">BalanceSheets!E17-BalanceSheets!D17</f>
        <v>14595.725806451621</v>
      </c>
      <c r="E61" s="4">
        <f ca="1">BalanceSheets!F17-BalanceSheets!E17</f>
        <v>-5958.6290322580608</v>
      </c>
      <c r="F61" s="4">
        <f ca="1">BalanceSheets!G17-BalanceSheets!F17</f>
        <v>38928.629032258061</v>
      </c>
      <c r="G61" s="4">
        <f ca="1">BalanceSheets!H17-BalanceSheets!G17</f>
        <v>-39581.854838709682</v>
      </c>
      <c r="H61" s="4">
        <f ca="1">BalanceSheets!I17-BalanceSheets!H17</f>
        <v>6856.4516129032272</v>
      </c>
      <c r="I61" s="4">
        <f ca="1">BalanceSheets!J17-BalanceSheets!I17</f>
        <v>-7124.596774193531</v>
      </c>
      <c r="J61" s="4">
        <f ca="1">BalanceSheets!K17-BalanceSheets!J17</f>
        <v>16289.112903225774</v>
      </c>
      <c r="K61" s="4">
        <f ca="1">BalanceSheets!L17-BalanceSheets!K17</f>
        <v>4170.8870967742114</v>
      </c>
      <c r="L61" s="4">
        <f ca="1">BalanceSheets!M17-BalanceSheets!L17</f>
        <v>-17884.274193548379</v>
      </c>
      <c r="M61" s="4">
        <f ca="1">BalanceSheets!N17-BalanceSheets!M17</f>
        <v>-4847.9032258064544</v>
      </c>
      <c r="N61" s="4">
        <f ca="1">BalanceSheets!O17-BalanceSheets!N17</f>
        <v>9360.5702764976741</v>
      </c>
      <c r="O61" s="4">
        <f ca="1">SUM(C61:N61)</f>
        <v>22425.892857142841</v>
      </c>
      <c r="P61" s="4">
        <f ca="1">BalanceSheets!P17-BalanceSheets!O17</f>
        <v>6261.6877880184329</v>
      </c>
      <c r="Q61" s="4">
        <f ca="1">BalanceSheets!Q17-BalanceSheets!P17</f>
        <v>7156.4193548387266</v>
      </c>
      <c r="R61" s="4">
        <f ca="1">BalanceSheets!R17-BalanceSheets!Q17</f>
        <v>-8943.3548387096962</v>
      </c>
      <c r="S61" s="4">
        <f ca="1">BalanceSheets!S17-BalanceSheets!R17</f>
        <v>15035.854838709696</v>
      </c>
      <c r="T61" s="4">
        <f ca="1">BalanceSheets!T17-BalanceSheets!S17</f>
        <v>-13716.338709677424</v>
      </c>
      <c r="U61" s="4">
        <f ca="1">BalanceSheets!U17-BalanceSheets!T17</f>
        <v>5533.0645161290304</v>
      </c>
      <c r="V61" s="4">
        <f ca="1">BalanceSheets!V17-BalanceSheets!U17</f>
        <v>-12864.225806451621</v>
      </c>
      <c r="W61" s="4">
        <f ca="1">BalanceSheets!W17-BalanceSheets!V17</f>
        <v>19718.741935483893</v>
      </c>
      <c r="X61" s="4">
        <f ca="1">BalanceSheets!X17-BalanceSheets!W17</f>
        <v>-8066.2419354838785</v>
      </c>
      <c r="Y61" s="4">
        <f ca="1">BalanceSheets!Y17-BalanceSheets!X17</f>
        <v>26326.080645161273</v>
      </c>
      <c r="Z61" s="4">
        <f ca="1">BalanceSheets!Z17-BalanceSheets!Y17</f>
        <v>-13379.032258064515</v>
      </c>
      <c r="AA61" s="4">
        <f ca="1">BalanceSheets!AA17-BalanceSheets!Z17</f>
        <v>-3893.7269585253089</v>
      </c>
      <c r="AB61" s="4">
        <f ca="1">SUM(P61:AA61)</f>
        <v>19168.928571428609</v>
      </c>
      <c r="AC61" s="4">
        <f ca="1">BalanceSheets!AB17-BalanceSheets!AA17</f>
        <v>-6484.3375576036924</v>
      </c>
      <c r="AD61" s="4">
        <f ca="1">BalanceSheets!AC17-BalanceSheets!AB17</f>
        <v>32939.516129032243</v>
      </c>
      <c r="AE61" s="4">
        <f ca="1">BalanceSheets!AD17-BalanceSheets!AC17</f>
        <v>-31604.032258064515</v>
      </c>
      <c r="AF61" s="4">
        <f ca="1">BalanceSheets!AE17-BalanceSheets!AD17</f>
        <v>17181.532258064515</v>
      </c>
      <c r="AG61" s="4">
        <f ca="1">BalanceSheets!AF17-BalanceSheets!AE17</f>
        <v>28452.338709677424</v>
      </c>
      <c r="AH61" s="4">
        <f ca="1">BalanceSheets!AG17-BalanceSheets!AF17</f>
        <v>-34807.741935483878</v>
      </c>
      <c r="AI61" s="4">
        <f ca="1">BalanceSheets!AH17-BalanceSheets!AG17</f>
        <v>17050.903225806454</v>
      </c>
      <c r="AJ61" s="4">
        <f ca="1">BalanceSheets!AI17-BalanceSheets!AH17</f>
        <v>-23288.967741935485</v>
      </c>
      <c r="AK61" s="4">
        <f ca="1">BalanceSheets!AJ17-BalanceSheets!AI17</f>
        <v>20361.467741935485</v>
      </c>
      <c r="AL61" s="4">
        <f ca="1">BalanceSheets!AK17-BalanceSheets!AJ17</f>
        <v>-12738.56451612903</v>
      </c>
      <c r="AM61" s="4">
        <f ca="1">BalanceSheets!AL17-BalanceSheets!AK17</f>
        <v>-2973.3870967742114</v>
      </c>
      <c r="AN61" s="4">
        <f ca="1">BalanceSheets!AM17-BalanceSheets!AL17</f>
        <v>22108.237327188952</v>
      </c>
      <c r="AO61" s="4">
        <f ca="1">SUM(AC61:AN61)</f>
        <v>26196.964285714261</v>
      </c>
    </row>
    <row r="62" spans="2:41" s="10" customFormat="1" ht="15" customHeight="1" x14ac:dyDescent="0.35">
      <c r="B62" s="11" t="s">
        <v>91</v>
      </c>
      <c r="C62" s="118">
        <f ca="1">SUM(C53:C61)</f>
        <v>6956.1290322580171</v>
      </c>
      <c r="D62" s="118">
        <f t="shared" ref="D62:AO62" ca="1" si="22">SUM(D53:D61)</f>
        <v>16408.037634408669</v>
      </c>
      <c r="E62" s="118">
        <f t="shared" ca="1" si="22"/>
        <v>97020.349462365615</v>
      </c>
      <c r="F62" s="118">
        <f t="shared" ca="1" si="22"/>
        <v>14772.983870967699</v>
      </c>
      <c r="G62" s="118">
        <f t="shared" ca="1" si="22"/>
        <v>47912.177419354892</v>
      </c>
      <c r="H62" s="118">
        <f t="shared" ca="1" si="22"/>
        <v>30964.354838709682</v>
      </c>
      <c r="I62" s="118">
        <f t="shared" ca="1" si="22"/>
        <v>49083.467741935441</v>
      </c>
      <c r="J62" s="118">
        <f t="shared" ca="1" si="22"/>
        <v>61227.177419354746</v>
      </c>
      <c r="K62" s="118">
        <f t="shared" ca="1" si="22"/>
        <v>-12682.177419354761</v>
      </c>
      <c r="L62" s="118">
        <f t="shared" ca="1" si="22"/>
        <v>48745.596774193546</v>
      </c>
      <c r="M62" s="118">
        <f t="shared" ca="1" si="22"/>
        <v>71768.709677419421</v>
      </c>
      <c r="N62" s="118">
        <f t="shared" ca="1" si="22"/>
        <v>49712.229262672779</v>
      </c>
      <c r="O62" s="118">
        <f t="shared" ca="1" si="22"/>
        <v>481889.03571428574</v>
      </c>
      <c r="P62" s="118">
        <f t="shared" ca="1" si="22"/>
        <v>59626.286866359384</v>
      </c>
      <c r="Q62" s="118">
        <f t="shared" ca="1" si="22"/>
        <v>64000.677419354877</v>
      </c>
      <c r="R62" s="118">
        <f t="shared" ca="1" si="22"/>
        <v>31975.419354838668</v>
      </c>
      <c r="S62" s="118">
        <f t="shared" ca="1" si="22"/>
        <v>34466.080645161332</v>
      </c>
      <c r="T62" s="118">
        <f t="shared" ca="1" si="22"/>
        <v>75373.822580645181</v>
      </c>
      <c r="U62" s="118">
        <f t="shared" ca="1" si="22"/>
        <v>75547.903225806425</v>
      </c>
      <c r="V62" s="118">
        <f t="shared" ca="1" si="22"/>
        <v>17607.774193548379</v>
      </c>
      <c r="W62" s="118">
        <f t="shared" ca="1" si="22"/>
        <v>22503.064516129045</v>
      </c>
      <c r="X62" s="118">
        <f t="shared" ca="1" si="22"/>
        <v>45927.102150537656</v>
      </c>
      <c r="Y62" s="118">
        <f t="shared" ca="1" si="22"/>
        <v>20643.833333333256</v>
      </c>
      <c r="Z62" s="118">
        <f t="shared" ca="1" si="22"/>
        <v>29616.677419354877</v>
      </c>
      <c r="AA62" s="118">
        <f t="shared" ca="1" si="22"/>
        <v>19639.92972350237</v>
      </c>
      <c r="AB62" s="118">
        <f t="shared" ca="1" si="22"/>
        <v>496928.57142857159</v>
      </c>
      <c r="AC62" s="118">
        <f t="shared" ca="1" si="22"/>
        <v>100610.0057603686</v>
      </c>
      <c r="AD62" s="118">
        <f t="shared" ca="1" si="22"/>
        <v>18323.387096774211</v>
      </c>
      <c r="AE62" s="118">
        <f t="shared" ca="1" si="22"/>
        <v>60128.06451612903</v>
      </c>
      <c r="AF62" s="118">
        <f t="shared" ca="1" si="22"/>
        <v>11539.43548387097</v>
      </c>
      <c r="AG62" s="118">
        <f t="shared" ca="1" si="22"/>
        <v>22100.241935483878</v>
      </c>
      <c r="AH62" s="118">
        <f t="shared" ca="1" si="22"/>
        <v>-3514.1612903226051</v>
      </c>
      <c r="AI62" s="118">
        <f t="shared" ca="1" si="22"/>
        <v>26969.419354838727</v>
      </c>
      <c r="AJ62" s="118">
        <f t="shared" ca="1" si="22"/>
        <v>80074.032258064515</v>
      </c>
      <c r="AK62" s="118">
        <f t="shared" ca="1" si="22"/>
        <v>27570.467741935485</v>
      </c>
      <c r="AL62" s="118">
        <f t="shared" ca="1" si="22"/>
        <v>55499.467741935427</v>
      </c>
      <c r="AM62" s="118">
        <f t="shared" ca="1" si="22"/>
        <v>65248.354838709696</v>
      </c>
      <c r="AN62" s="118">
        <f t="shared" ca="1" si="22"/>
        <v>-3652.2511520737316</v>
      </c>
      <c r="AO62" s="118">
        <f t="shared" ca="1" si="22"/>
        <v>460896.4642857142</v>
      </c>
    </row>
    <row r="63" spans="2:41" ht="15" customHeight="1" x14ac:dyDescent="0.3">
      <c r="B63" s="3" t="s">
        <v>92</v>
      </c>
      <c r="C63" s="4">
        <f ca="1">-C54</f>
        <v>-9625</v>
      </c>
      <c r="D63" s="4">
        <f t="shared" ref="D63:AN63" ca="1" si="23">-D54</f>
        <v>-9502.3399588606189</v>
      </c>
      <c r="E63" s="4">
        <f t="shared" ca="1" si="23"/>
        <v>-9378.6066423612701</v>
      </c>
      <c r="F63" s="4">
        <f t="shared" ca="1" si="23"/>
        <v>-9253.7906593425487</v>
      </c>
      <c r="G63" s="4">
        <f t="shared" ca="1" si="23"/>
        <v>-10002.882536472416</v>
      </c>
      <c r="H63" s="4">
        <f t="shared" ca="1" si="23"/>
        <v>-9864.7218046963171</v>
      </c>
      <c r="I63" s="4">
        <f t="shared" ca="1" si="23"/>
        <v>-9725.3521665171775</v>
      </c>
      <c r="J63" s="4">
        <f t="shared" ca="1" si="23"/>
        <v>-9584.7630440039684</v>
      </c>
      <c r="K63" s="4">
        <f t="shared" ca="1" si="23"/>
        <v>-9442.94376666877</v>
      </c>
      <c r="L63" s="4">
        <f t="shared" ca="1" si="23"/>
        <v>-9299.8835706568898</v>
      </c>
      <c r="M63" s="4">
        <f t="shared" ca="1" si="23"/>
        <v>-9155.5715979299039</v>
      </c>
      <c r="N63" s="4">
        <f t="shared" ca="1" si="23"/>
        <v>-9009.9968954415563</v>
      </c>
      <c r="O63" s="4">
        <f ca="1">SUM(C63:N63)</f>
        <v>-113845.85264295143</v>
      </c>
      <c r="P63" s="4">
        <f t="shared" ca="1" si="23"/>
        <v>-8863.1484143064354</v>
      </c>
      <c r="Q63" s="4">
        <f t="shared" ca="1" si="23"/>
        <v>-8715.0150089613835</v>
      </c>
      <c r="R63" s="4">
        <f t="shared" ca="1" si="23"/>
        <v>-8565.5854363195631</v>
      </c>
      <c r="S63" s="4">
        <f t="shared" ca="1" si="23"/>
        <v>-9114.8483549171269</v>
      </c>
      <c r="T63" s="4">
        <f t="shared" ca="1" si="23"/>
        <v>-8953.871593787735</v>
      </c>
      <c r="U63" s="4">
        <f t="shared" ca="1" si="23"/>
        <v>-8791.4862859984623</v>
      </c>
      <c r="V63" s="4">
        <f t="shared" ca="1" si="23"/>
        <v>-8627.6801067660326</v>
      </c>
      <c r="W63" s="4">
        <f t="shared" ca="1" si="23"/>
        <v>-8462.4406234653216</v>
      </c>
      <c r="X63" s="4">
        <f t="shared" ca="1" si="23"/>
        <v>-8295.7552946857268</v>
      </c>
      <c r="Y63" s="4">
        <f t="shared" ca="1" si="23"/>
        <v>-8127.6114692793117</v>
      </c>
      <c r="Z63" s="4">
        <f t="shared" ca="1" si="23"/>
        <v>-7957.99638540059</v>
      </c>
      <c r="AA63" s="4">
        <f t="shared" ca="1" si="23"/>
        <v>-7786.8971695379296</v>
      </c>
      <c r="AB63" s="4">
        <f ca="1">SUM(P63:AA63)</f>
        <v>-102262.33614342562</v>
      </c>
      <c r="AC63" s="4">
        <f t="shared" ca="1" si="23"/>
        <v>-7614.3008355364718</v>
      </c>
      <c r="AD63" s="4">
        <f t="shared" ca="1" si="23"/>
        <v>-7440.194283612499</v>
      </c>
      <c r="AE63" s="4">
        <f t="shared" ca="1" si="23"/>
        <v>-7264.5642993591937</v>
      </c>
      <c r="AF63" s="4">
        <f t="shared" ca="1" si="23"/>
        <v>-7087.3975527436714</v>
      </c>
      <c r="AG63" s="4">
        <f t="shared" ca="1" si="23"/>
        <v>-7564.9305970952628</v>
      </c>
      <c r="AH63" s="4">
        <f t="shared" ca="1" si="23"/>
        <v>-7376.2866834617917</v>
      </c>
      <c r="AI63" s="4">
        <f t="shared" ca="1" si="23"/>
        <v>-7185.992135584027</v>
      </c>
      <c r="AJ63" s="4">
        <f t="shared" ca="1" si="23"/>
        <v>-6994.0325104123331</v>
      </c>
      <c r="AK63" s="4">
        <f t="shared" ca="1" si="23"/>
        <v>-6800.3932385203852</v>
      </c>
      <c r="AL63" s="4">
        <f t="shared" ca="1" si="23"/>
        <v>-6605.0596229993835</v>
      </c>
      <c r="AM63" s="4">
        <f t="shared" ca="1" si="23"/>
        <v>-6670.5168383425735</v>
      </c>
      <c r="AN63" s="4">
        <f t="shared" ca="1" si="23"/>
        <v>-6468.4046554707602</v>
      </c>
      <c r="AO63" s="4">
        <f ca="1">SUM(AC63:AN63)</f>
        <v>-85072.073253138355</v>
      </c>
    </row>
    <row r="64" spans="2:41" ht="15" customHeight="1" x14ac:dyDescent="0.3">
      <c r="B64" s="3" t="s">
        <v>93</v>
      </c>
      <c r="C64" s="4">
        <f ca="1">BalanceSheets!D18-BalanceSheets!C18-C55</f>
        <v>0</v>
      </c>
      <c r="D64" s="4">
        <f ca="1">BalanceSheets!E18-BalanceSheets!D18-D55</f>
        <v>0</v>
      </c>
      <c r="E64" s="4">
        <f ca="1">BalanceSheets!F18-BalanceSheets!E18-E55</f>
        <v>0</v>
      </c>
      <c r="F64" s="4">
        <f ca="1">BalanceSheets!G18-BalanceSheets!F18-F55</f>
        <v>0</v>
      </c>
      <c r="G64" s="4">
        <f ca="1">BalanceSheets!H18-BalanceSheets!G18-G55</f>
        <v>0</v>
      </c>
      <c r="H64" s="4">
        <f ca="1">BalanceSheets!I18-BalanceSheets!H18-H55</f>
        <v>-36853.411018181388</v>
      </c>
      <c r="I64" s="4">
        <f ca="1">BalanceSheets!J18-BalanceSheets!I18-I55</f>
        <v>0</v>
      </c>
      <c r="J64" s="4">
        <f ca="1">BalanceSheets!K18-BalanceSheets!J18-J55</f>
        <v>0</v>
      </c>
      <c r="K64" s="4">
        <f ca="1">BalanceSheets!L18-BalanceSheets!K18-K55</f>
        <v>0</v>
      </c>
      <c r="L64" s="4">
        <f ca="1">BalanceSheets!M18-BalanceSheets!L18-L55</f>
        <v>0</v>
      </c>
      <c r="M64" s="4">
        <f ca="1">BalanceSheets!N18-BalanceSheets!M18-M55</f>
        <v>0</v>
      </c>
      <c r="N64" s="4">
        <f ca="1">BalanceSheets!O18-BalanceSheets!N18-N55</f>
        <v>-42961.096908458901</v>
      </c>
      <c r="O64" s="4">
        <f ca="1">SUM(C64:N64)</f>
        <v>-79814.50792664029</v>
      </c>
      <c r="P64" s="141">
        <f ca="1">BalanceSheets!P18-BalanceSheets!O18-P55</f>
        <v>0</v>
      </c>
      <c r="Q64" s="141">
        <f ca="1">BalanceSheets!Q18-BalanceSheets!P18-Q55</f>
        <v>0</v>
      </c>
      <c r="R64" s="141">
        <f ca="1">BalanceSheets!R18-BalanceSheets!Q18-R55</f>
        <v>0</v>
      </c>
      <c r="S64" s="141">
        <f ca="1">BalanceSheets!S18-BalanceSheets!R18-S55</f>
        <v>0</v>
      </c>
      <c r="T64" s="141">
        <f ca="1">BalanceSheets!T18-BalanceSheets!S18-T55</f>
        <v>0</v>
      </c>
      <c r="U64" s="141">
        <f ca="1">BalanceSheets!U18-BalanceSheets!T18-U55</f>
        <v>-39997.825906931932</v>
      </c>
      <c r="V64" s="141">
        <f ca="1">BalanceSheets!V18-BalanceSheets!U18-V55</f>
        <v>0</v>
      </c>
      <c r="W64" s="141">
        <f ca="1">BalanceSheets!W18-BalanceSheets!V18-W55</f>
        <v>0</v>
      </c>
      <c r="X64" s="141">
        <f ca="1">BalanceSheets!X18-BalanceSheets!W18-X55</f>
        <v>0</v>
      </c>
      <c r="Y64" s="141">
        <f ca="1">BalanceSheets!Y18-BalanceSheets!X18-Y55</f>
        <v>0</v>
      </c>
      <c r="Z64" s="141">
        <f ca="1">BalanceSheets!Z18-BalanceSheets!Y18-Z55</f>
        <v>0</v>
      </c>
      <c r="AA64" s="141">
        <f ca="1">BalanceSheets!AA18-BalanceSheets!Z18-AA55</f>
        <v>-36265.586639575544</v>
      </c>
      <c r="AB64" s="4">
        <f ca="1">SUM(P64:AA64)</f>
        <v>-76263.412546507476</v>
      </c>
      <c r="AC64" s="141">
        <f ca="1">BalanceSheets!AB18-BalanceSheets!AA18-AC55</f>
        <v>0</v>
      </c>
      <c r="AD64" s="141">
        <f ca="1">BalanceSheets!AC18-BalanceSheets!AB18-AD55</f>
        <v>0</v>
      </c>
      <c r="AE64" s="141">
        <f ca="1">BalanceSheets!AD18-BalanceSheets!AC18-AE55</f>
        <v>0</v>
      </c>
      <c r="AF64" s="141">
        <f ca="1">BalanceSheets!AE18-BalanceSheets!AD18-AF55</f>
        <v>0</v>
      </c>
      <c r="AG64" s="141">
        <f ca="1">BalanceSheets!AF18-BalanceSheets!AE18-AG55</f>
        <v>0</v>
      </c>
      <c r="AH64" s="141">
        <f ca="1">BalanceSheets!AG18-BalanceSheets!AF18-AH55</f>
        <v>-18574.26454282683</v>
      </c>
      <c r="AI64" s="141">
        <f ca="1">BalanceSheets!AH18-BalanceSheets!AG18-AI55</f>
        <v>0</v>
      </c>
      <c r="AJ64" s="141">
        <f ca="1">BalanceSheets!AI18-BalanceSheets!AH18-AJ55</f>
        <v>0</v>
      </c>
      <c r="AK64" s="141">
        <f ca="1">BalanceSheets!AJ18-BalanceSheets!AI18-AK55</f>
        <v>0</v>
      </c>
      <c r="AL64" s="141">
        <f ca="1">BalanceSheets!AK18-BalanceSheets!AJ18-AL55</f>
        <v>0</v>
      </c>
      <c r="AM64" s="141">
        <f ca="1">BalanceSheets!AL18-BalanceSheets!AK18-AM55</f>
        <v>0</v>
      </c>
      <c r="AN64" s="141">
        <f ca="1">BalanceSheets!AM18-BalanceSheets!AL18-AN55</f>
        <v>-51142.914946294419</v>
      </c>
      <c r="AO64" s="4">
        <f ca="1">SUM(AC64:AN64)</f>
        <v>-69717.179489121248</v>
      </c>
    </row>
    <row r="65" spans="1:41" s="10" customFormat="1" ht="15" customHeight="1" x14ac:dyDescent="0.35">
      <c r="B65" s="11" t="s">
        <v>94</v>
      </c>
      <c r="C65" s="117">
        <f ca="1">SUM(C62:C64)</f>
        <v>-2668.8709677419829</v>
      </c>
      <c r="D65" s="117">
        <f t="shared" ref="D65:AO65" ca="1" si="24">SUM(D62:D64)</f>
        <v>6905.69767554805</v>
      </c>
      <c r="E65" s="117">
        <f t="shared" ca="1" si="24"/>
        <v>87641.742820004351</v>
      </c>
      <c r="F65" s="117">
        <f t="shared" ca="1" si="24"/>
        <v>5519.1932116251501</v>
      </c>
      <c r="G65" s="117">
        <f t="shared" ca="1" si="24"/>
        <v>37909.294882882474</v>
      </c>
      <c r="H65" s="117">
        <f t="shared" ca="1" si="24"/>
        <v>-15753.777984168024</v>
      </c>
      <c r="I65" s="117">
        <f t="shared" ca="1" si="24"/>
        <v>39358.115575418262</v>
      </c>
      <c r="J65" s="117">
        <f t="shared" ca="1" si="24"/>
        <v>51642.414375350781</v>
      </c>
      <c r="K65" s="117">
        <f t="shared" ca="1" si="24"/>
        <v>-22125.121186023531</v>
      </c>
      <c r="L65" s="117">
        <f t="shared" ca="1" si="24"/>
        <v>39445.713203536652</v>
      </c>
      <c r="M65" s="117">
        <f t="shared" ca="1" si="24"/>
        <v>62613.138079489516</v>
      </c>
      <c r="N65" s="117">
        <f t="shared" ca="1" si="24"/>
        <v>-2258.8645412276819</v>
      </c>
      <c r="O65" s="117">
        <f t="shared" ca="1" si="24"/>
        <v>288228.67514469405</v>
      </c>
      <c r="P65" s="117">
        <f t="shared" ca="1" si="24"/>
        <v>50763.138452052946</v>
      </c>
      <c r="Q65" s="117">
        <f t="shared" ca="1" si="24"/>
        <v>55285.662410393496</v>
      </c>
      <c r="R65" s="117">
        <f t="shared" ca="1" si="24"/>
        <v>23409.833918519107</v>
      </c>
      <c r="S65" s="117">
        <f t="shared" ca="1" si="24"/>
        <v>25351.232290244203</v>
      </c>
      <c r="T65" s="117">
        <f t="shared" ca="1" si="24"/>
        <v>66419.950986857439</v>
      </c>
      <c r="U65" s="117">
        <f t="shared" ca="1" si="24"/>
        <v>26758.591032876036</v>
      </c>
      <c r="V65" s="117">
        <f t="shared" ca="1" si="24"/>
        <v>8980.0940867823465</v>
      </c>
      <c r="W65" s="117">
        <f t="shared" ca="1" si="24"/>
        <v>14040.623892663723</v>
      </c>
      <c r="X65" s="117">
        <f t="shared" ca="1" si="24"/>
        <v>37631.346855851931</v>
      </c>
      <c r="Y65" s="117">
        <f t="shared" ca="1" si="24"/>
        <v>12516.221864053943</v>
      </c>
      <c r="Z65" s="117">
        <f t="shared" ca="1" si="24"/>
        <v>21658.681033954286</v>
      </c>
      <c r="AA65" s="117">
        <f t="shared" ca="1" si="24"/>
        <v>-24412.554085611104</v>
      </c>
      <c r="AB65" s="117">
        <f t="shared" ca="1" si="24"/>
        <v>318402.8227386385</v>
      </c>
      <c r="AC65" s="117">
        <f t="shared" ca="1" si="24"/>
        <v>92995.704924832127</v>
      </c>
      <c r="AD65" s="117">
        <f t="shared" ca="1" si="24"/>
        <v>10883.192813161713</v>
      </c>
      <c r="AE65" s="117">
        <f t="shared" ca="1" si="24"/>
        <v>52863.50021676984</v>
      </c>
      <c r="AF65" s="117">
        <f t="shared" ca="1" si="24"/>
        <v>4452.0379311272982</v>
      </c>
      <c r="AG65" s="117">
        <f t="shared" ca="1" si="24"/>
        <v>14535.311338388616</v>
      </c>
      <c r="AH65" s="117">
        <f t="shared" ca="1" si="24"/>
        <v>-29464.712516611227</v>
      </c>
      <c r="AI65" s="117">
        <f t="shared" ca="1" si="24"/>
        <v>19783.4272192547</v>
      </c>
      <c r="AJ65" s="117">
        <f t="shared" ca="1" si="24"/>
        <v>73079.999747652182</v>
      </c>
      <c r="AK65" s="117">
        <f t="shared" ca="1" si="24"/>
        <v>20770.0745034151</v>
      </c>
      <c r="AL65" s="117">
        <f t="shared" ca="1" si="24"/>
        <v>48894.408118936044</v>
      </c>
      <c r="AM65" s="117">
        <f t="shared" ca="1" si="24"/>
        <v>58577.838000367119</v>
      </c>
      <c r="AN65" s="117">
        <f t="shared" ca="1" si="24"/>
        <v>-61263.570753838911</v>
      </c>
      <c r="AO65" s="117">
        <f t="shared" ca="1" si="24"/>
        <v>306107.21154345461</v>
      </c>
    </row>
    <row r="66" spans="1:41" ht="15" customHeight="1" x14ac:dyDescent="0.3">
      <c r="C66" s="4"/>
      <c r="D66" s="4"/>
      <c r="E66" s="4"/>
      <c r="F66" s="4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</row>
    <row r="67" spans="1:41" ht="15" customHeight="1" x14ac:dyDescent="0.35">
      <c r="B67" s="43" t="s">
        <v>95</v>
      </c>
      <c r="C67" s="4"/>
      <c r="D67" s="4"/>
      <c r="E67" s="4"/>
      <c r="F67" s="4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</row>
    <row r="68" spans="1:41" s="29" customFormat="1" ht="15" customHeight="1" x14ac:dyDescent="0.35">
      <c r="A68" s="36"/>
      <c r="B68" s="26" t="s">
        <v>96</v>
      </c>
      <c r="C68" s="4">
        <v>0</v>
      </c>
      <c r="D68" s="4">
        <v>0</v>
      </c>
      <c r="E68" s="4">
        <v>-50000</v>
      </c>
      <c r="F68" s="4">
        <v>0</v>
      </c>
      <c r="G68" s="4">
        <v>0</v>
      </c>
      <c r="H68" s="4">
        <v>-75000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f>SUM(C68:N68)</f>
        <v>-125000</v>
      </c>
      <c r="P68" s="4">
        <v>-75000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-30000</v>
      </c>
      <c r="X68" s="4">
        <v>0</v>
      </c>
      <c r="Y68" s="4">
        <v>0</v>
      </c>
      <c r="Z68" s="4">
        <v>0</v>
      </c>
      <c r="AA68" s="4">
        <v>0</v>
      </c>
      <c r="AB68" s="4">
        <f>SUM(P68:AA68)</f>
        <v>-105000</v>
      </c>
      <c r="AC68" s="4">
        <v>0</v>
      </c>
      <c r="AD68" s="4">
        <v>-82000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-95000</v>
      </c>
      <c r="AM68" s="4">
        <v>0</v>
      </c>
      <c r="AN68" s="4">
        <v>0</v>
      </c>
      <c r="AO68" s="4">
        <f>SUM(AC68:AN68)</f>
        <v>-177000</v>
      </c>
    </row>
    <row r="69" spans="1:41" s="10" customFormat="1" ht="15" customHeight="1" x14ac:dyDescent="0.35">
      <c r="B69" s="11" t="s">
        <v>97</v>
      </c>
      <c r="C69" s="117">
        <f>SUM(C68)</f>
        <v>0</v>
      </c>
      <c r="D69" s="117">
        <f t="shared" ref="D69:AO69" si="25">SUM(D68)</f>
        <v>0</v>
      </c>
      <c r="E69" s="117">
        <f t="shared" si="25"/>
        <v>-50000</v>
      </c>
      <c r="F69" s="117">
        <f t="shared" si="25"/>
        <v>0</v>
      </c>
      <c r="G69" s="117">
        <f t="shared" si="25"/>
        <v>0</v>
      </c>
      <c r="H69" s="117">
        <f t="shared" si="25"/>
        <v>-75000</v>
      </c>
      <c r="I69" s="117">
        <f t="shared" si="25"/>
        <v>0</v>
      </c>
      <c r="J69" s="117">
        <f t="shared" si="25"/>
        <v>0</v>
      </c>
      <c r="K69" s="117">
        <f t="shared" si="25"/>
        <v>0</v>
      </c>
      <c r="L69" s="117">
        <f t="shared" si="25"/>
        <v>0</v>
      </c>
      <c r="M69" s="117">
        <f t="shared" si="25"/>
        <v>0</v>
      </c>
      <c r="N69" s="117">
        <f t="shared" si="25"/>
        <v>0</v>
      </c>
      <c r="O69" s="117">
        <f t="shared" si="25"/>
        <v>-125000</v>
      </c>
      <c r="P69" s="117">
        <f t="shared" si="25"/>
        <v>-75000</v>
      </c>
      <c r="Q69" s="117">
        <f t="shared" si="25"/>
        <v>0</v>
      </c>
      <c r="R69" s="117">
        <f t="shared" si="25"/>
        <v>0</v>
      </c>
      <c r="S69" s="117">
        <f t="shared" si="25"/>
        <v>0</v>
      </c>
      <c r="T69" s="117">
        <f t="shared" si="25"/>
        <v>0</v>
      </c>
      <c r="U69" s="117">
        <f t="shared" si="25"/>
        <v>0</v>
      </c>
      <c r="V69" s="117">
        <f t="shared" si="25"/>
        <v>0</v>
      </c>
      <c r="W69" s="117">
        <f t="shared" si="25"/>
        <v>-30000</v>
      </c>
      <c r="X69" s="117">
        <f t="shared" si="25"/>
        <v>0</v>
      </c>
      <c r="Y69" s="117">
        <f t="shared" si="25"/>
        <v>0</v>
      </c>
      <c r="Z69" s="117">
        <f t="shared" si="25"/>
        <v>0</v>
      </c>
      <c r="AA69" s="117">
        <f t="shared" si="25"/>
        <v>0</v>
      </c>
      <c r="AB69" s="117">
        <f t="shared" si="25"/>
        <v>-105000</v>
      </c>
      <c r="AC69" s="117">
        <f t="shared" si="25"/>
        <v>0</v>
      </c>
      <c r="AD69" s="117">
        <f t="shared" si="25"/>
        <v>-82000</v>
      </c>
      <c r="AE69" s="117">
        <f t="shared" si="25"/>
        <v>0</v>
      </c>
      <c r="AF69" s="117">
        <f t="shared" si="25"/>
        <v>0</v>
      </c>
      <c r="AG69" s="117">
        <f t="shared" si="25"/>
        <v>0</v>
      </c>
      <c r="AH69" s="117">
        <f t="shared" si="25"/>
        <v>0</v>
      </c>
      <c r="AI69" s="117">
        <f t="shared" si="25"/>
        <v>0</v>
      </c>
      <c r="AJ69" s="117">
        <f t="shared" si="25"/>
        <v>0</v>
      </c>
      <c r="AK69" s="117">
        <f t="shared" si="25"/>
        <v>0</v>
      </c>
      <c r="AL69" s="117">
        <f t="shared" si="25"/>
        <v>-95000</v>
      </c>
      <c r="AM69" s="117">
        <f t="shared" si="25"/>
        <v>0</v>
      </c>
      <c r="AN69" s="117">
        <f t="shared" si="25"/>
        <v>0</v>
      </c>
      <c r="AO69" s="117">
        <f t="shared" si="25"/>
        <v>-177000</v>
      </c>
    </row>
    <row r="70" spans="1:41" ht="15" customHeight="1" x14ac:dyDescent="0.3">
      <c r="C70" s="4"/>
      <c r="D70" s="4"/>
      <c r="E70" s="4"/>
      <c r="F70" s="4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</row>
    <row r="71" spans="1:41" ht="15" customHeight="1" x14ac:dyDescent="0.35">
      <c r="B71" s="43" t="s">
        <v>98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s="29" customFormat="1" ht="15" customHeight="1" x14ac:dyDescent="0.35">
      <c r="A72" s="36"/>
      <c r="B72" s="26" t="s">
        <v>99</v>
      </c>
      <c r="C72" s="4">
        <v>0</v>
      </c>
      <c r="D72" s="4">
        <v>0</v>
      </c>
      <c r="E72" s="4">
        <v>0</v>
      </c>
      <c r="F72" s="4">
        <v>500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f>SUM(C72:N72)</f>
        <v>500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f>SUM(P72:AA72)</f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f>SUM(AC72:AN72)</f>
        <v>0</v>
      </c>
    </row>
    <row r="73" spans="1:41" s="29" customFormat="1" ht="15" customHeight="1" x14ac:dyDescent="0.35">
      <c r="A73" s="36"/>
      <c r="B73" s="26" t="s">
        <v>100</v>
      </c>
      <c r="C73" s="4">
        <v>0</v>
      </c>
      <c r="D73" s="4">
        <v>0</v>
      </c>
      <c r="E73" s="4">
        <v>0</v>
      </c>
      <c r="F73" s="4">
        <v>0</v>
      </c>
      <c r="G73" s="4">
        <v>100000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f>SUM(C73:N73)</f>
        <v>100000</v>
      </c>
      <c r="P73" s="4">
        <v>0</v>
      </c>
      <c r="Q73" s="4">
        <v>0</v>
      </c>
      <c r="R73" s="4">
        <v>0</v>
      </c>
      <c r="S73" s="4">
        <v>80000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f>SUM(P73:AA73)</f>
        <v>80000</v>
      </c>
      <c r="AC73" s="4">
        <v>0</v>
      </c>
      <c r="AD73" s="4">
        <v>0</v>
      </c>
      <c r="AE73" s="4">
        <v>0</v>
      </c>
      <c r="AF73" s="4">
        <v>0</v>
      </c>
      <c r="AG73" s="4">
        <v>75000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30000</v>
      </c>
      <c r="AN73" s="4">
        <v>0</v>
      </c>
      <c r="AO73" s="4">
        <f>SUM(AC73:AN73)</f>
        <v>105000</v>
      </c>
    </row>
    <row r="74" spans="1:41" s="29" customFormat="1" ht="15" customHeight="1" x14ac:dyDescent="0.3">
      <c r="B74" s="26" t="s">
        <v>101</v>
      </c>
      <c r="C74" s="4">
        <f ca="1">-OFFSET(Loans!$F$9,COLUMN(C71)-2,0,1,1)</f>
        <v>-14018.290415929208</v>
      </c>
      <c r="D74" s="4">
        <f ca="1">-OFFSET(Loans!$F$9,COLUMN(D71)-2,0,1,1)</f>
        <v>-14140.950457068589</v>
      </c>
      <c r="E74" s="4">
        <f ca="1">-OFFSET(Loans!$F$9,COLUMN(E71)-2,0,1,1)</f>
        <v>-14264.683773567938</v>
      </c>
      <c r="F74" s="4">
        <f ca="1">-OFFSET(Loans!$F$9,COLUMN(F71)-2,0,1,1)</f>
        <v>-14389.49975658666</v>
      </c>
      <c r="G74" s="4">
        <f ca="1">-OFFSET(Loans!$F$9,COLUMN(G71)-2,0,1,1)</f>
        <v>-15789.797917268535</v>
      </c>
      <c r="H74" s="4">
        <f ca="1">-OFFSET(Loans!$F$9,COLUMN(H71)-2,0,1,1)</f>
        <v>-15927.958649044635</v>
      </c>
      <c r="I74" s="4">
        <f ca="1">-OFFSET(Loans!$F$9,COLUMN(I71)-2,0,1,1)</f>
        <v>-16067.328287223774</v>
      </c>
      <c r="J74" s="4">
        <f ca="1">-OFFSET(Loans!$F$9,COLUMN(J71)-2,0,1,1)</f>
        <v>-16207.917409736983</v>
      </c>
      <c r="K74" s="4">
        <f ca="1">-OFFSET(Loans!$F$9,COLUMN(K71)-2,0,1,1)</f>
        <v>-16349.736687072182</v>
      </c>
      <c r="L74" s="4">
        <f ca="1">-OFFSET(Loans!$F$9,COLUMN(L71)-2,0,1,1)</f>
        <v>-16492.796883084062</v>
      </c>
      <c r="M74" s="4">
        <f ca="1">-OFFSET(Loans!$F$9,COLUMN(M71)-2,0,1,1)</f>
        <v>-16637.10885581105</v>
      </c>
      <c r="N74" s="4">
        <f ca="1">-OFFSET(Loans!$F$9,COLUMN(N71)-2,0,1,1)</f>
        <v>-16782.683558299395</v>
      </c>
      <c r="O74" s="4">
        <f ca="1">SUM(C74:N74)</f>
        <v>-187068.752650693</v>
      </c>
      <c r="P74" s="4">
        <f ca="1">-OFFSET(Loans!$F$9,COLUMN(P71)-3,0,1,1)</f>
        <v>-16929.532039434518</v>
      </c>
      <c r="Q74" s="4">
        <f ca="1">-OFFSET(Loans!$F$9,COLUMN(Q71)-3,0,1,1)</f>
        <v>-17077.665444779566</v>
      </c>
      <c r="R74" s="4">
        <f ca="1">-OFFSET(Loans!$F$9,COLUMN(R71)-3,0,1,1)</f>
        <v>-17227.095017421387</v>
      </c>
      <c r="S74" s="4">
        <f ca="1">-OFFSET(Loans!$F$9,COLUMN(S71)-3,0,1,1)</f>
        <v>-18397.344129073223</v>
      </c>
      <c r="T74" s="4">
        <f ca="1">-OFFSET(Loans!$F$9,COLUMN(T71)-3,0,1,1)</f>
        <v>-18558.320890202613</v>
      </c>
      <c r="U74" s="4">
        <f ca="1">-OFFSET(Loans!$F$9,COLUMN(U71)-3,0,1,1)</f>
        <v>-18720.706197991887</v>
      </c>
      <c r="V74" s="4">
        <f ca="1">-OFFSET(Loans!$F$9,COLUMN(V71)-3,0,1,1)</f>
        <v>-18884.512377224317</v>
      </c>
      <c r="W74" s="4">
        <f ca="1">-OFFSET(Loans!$F$9,COLUMN(W71)-3,0,1,1)</f>
        <v>-19049.751860525026</v>
      </c>
      <c r="X74" s="4">
        <f ca="1">-OFFSET(Loans!$F$9,COLUMN(X71)-3,0,1,1)</f>
        <v>-19216.437189304619</v>
      </c>
      <c r="Y74" s="4">
        <f ca="1">-OFFSET(Loans!$F$9,COLUMN(Y71)-3,0,1,1)</f>
        <v>-19384.581014711035</v>
      </c>
      <c r="Z74" s="4">
        <f ca="1">-OFFSET(Loans!$F$9,COLUMN(Z71)-3,0,1,1)</f>
        <v>-19554.196098589757</v>
      </c>
      <c r="AA74" s="4">
        <f ca="1">-OFFSET(Loans!$F$9,COLUMN(AA71)-3,0,1,1)</f>
        <v>-19725.295314452418</v>
      </c>
      <c r="AB74" s="4">
        <f ca="1">SUM(P74:AA74)</f>
        <v>-222725.43757371034</v>
      </c>
      <c r="AC74" s="4">
        <f ca="1">-OFFSET(Loans!$F$9,COLUMN(AC71)-4,0,1,1)</f>
        <v>-19897.891648453875</v>
      </c>
      <c r="AD74" s="4">
        <f ca="1">-OFFSET(Loans!$F$9,COLUMN(AD71)-4,0,1,1)</f>
        <v>-20071.99820037785</v>
      </c>
      <c r="AE74" s="4">
        <f ca="1">-OFFSET(Loans!$F$9,COLUMN(AE71)-4,0,1,1)</f>
        <v>-20247.628184631154</v>
      </c>
      <c r="AF74" s="4">
        <f ca="1">-OFFSET(Loans!$F$9,COLUMN(AF71)-4,0,1,1)</f>
        <v>-20424.794931246677</v>
      </c>
      <c r="AG74" s="4">
        <f ca="1">-OFFSET(Loans!$F$9,COLUMN(AG71)-4,0,1,1)</f>
        <v>-21559.304415253897</v>
      </c>
      <c r="AH74" s="4">
        <f ca="1">-OFFSET(Loans!$F$9,COLUMN(AH71)-4,0,1,1)</f>
        <v>-21747.948328887367</v>
      </c>
      <c r="AI74" s="4">
        <f ca="1">-OFFSET(Loans!$F$9,COLUMN(AI71)-4,0,1,1)</f>
        <v>-21938.242876765133</v>
      </c>
      <c r="AJ74" s="4">
        <f ca="1">-OFFSET(Loans!$F$9,COLUMN(AJ71)-4,0,1,1)</f>
        <v>-22130.202501936827</v>
      </c>
      <c r="AK74" s="4">
        <f ca="1">-OFFSET(Loans!$F$9,COLUMN(AK71)-4,0,1,1)</f>
        <v>-22323.841773828775</v>
      </c>
      <c r="AL74" s="4">
        <f ca="1">-OFFSET(Loans!$F$9,COLUMN(AL71)-4,0,1,1)</f>
        <v>-22519.175389349777</v>
      </c>
      <c r="AM74" s="4">
        <f ca="1">-OFFSET(Loans!$F$9,COLUMN(AM71)-4,0,1,1)</f>
        <v>-23098.535185350109</v>
      </c>
      <c r="AN74" s="4">
        <f ca="1">-OFFSET(Loans!$F$9,COLUMN(AN71)-4,0,1,1)</f>
        <v>-23300.647368221922</v>
      </c>
      <c r="AO74" s="4">
        <f ca="1">SUM(AC74:AN74)</f>
        <v>-259260.21080430335</v>
      </c>
    </row>
    <row r="75" spans="1:41" s="12" customFormat="1" ht="15" customHeight="1" x14ac:dyDescent="0.35">
      <c r="B75" s="97" t="s">
        <v>102</v>
      </c>
      <c r="C75" s="117">
        <f ca="1">SUM(C72:C74)</f>
        <v>-14018.290415929208</v>
      </c>
      <c r="D75" s="117">
        <f t="shared" ref="D75:AO75" ca="1" si="26">SUM(D72:D74)</f>
        <v>-14140.950457068589</v>
      </c>
      <c r="E75" s="117">
        <f t="shared" ca="1" si="26"/>
        <v>-14264.683773567938</v>
      </c>
      <c r="F75" s="117">
        <f t="shared" ca="1" si="26"/>
        <v>-13889.49975658666</v>
      </c>
      <c r="G75" s="117">
        <f t="shared" ca="1" si="26"/>
        <v>84210.20208273147</v>
      </c>
      <c r="H75" s="117">
        <f t="shared" ca="1" si="26"/>
        <v>-15927.958649044635</v>
      </c>
      <c r="I75" s="117">
        <f t="shared" ca="1" si="26"/>
        <v>-16067.328287223774</v>
      </c>
      <c r="J75" s="117">
        <f t="shared" ca="1" si="26"/>
        <v>-16207.917409736983</v>
      </c>
      <c r="K75" s="117">
        <f t="shared" ca="1" si="26"/>
        <v>-16349.736687072182</v>
      </c>
      <c r="L75" s="117">
        <f t="shared" ca="1" si="26"/>
        <v>-16492.796883084062</v>
      </c>
      <c r="M75" s="117">
        <f t="shared" ca="1" si="26"/>
        <v>-16637.10885581105</v>
      </c>
      <c r="N75" s="117">
        <f t="shared" ca="1" si="26"/>
        <v>-16782.683558299395</v>
      </c>
      <c r="O75" s="117">
        <f t="shared" ca="1" si="26"/>
        <v>-86568.752650693001</v>
      </c>
      <c r="P75" s="117">
        <f t="shared" ca="1" si="26"/>
        <v>-16929.532039434518</v>
      </c>
      <c r="Q75" s="117">
        <f t="shared" ca="1" si="26"/>
        <v>-17077.665444779566</v>
      </c>
      <c r="R75" s="117">
        <f t="shared" ca="1" si="26"/>
        <v>-17227.095017421387</v>
      </c>
      <c r="S75" s="117">
        <f t="shared" ca="1" si="26"/>
        <v>61602.655870926777</v>
      </c>
      <c r="T75" s="117">
        <f t="shared" ca="1" si="26"/>
        <v>-18558.320890202613</v>
      </c>
      <c r="U75" s="117">
        <f t="shared" ca="1" si="26"/>
        <v>-18720.706197991887</v>
      </c>
      <c r="V75" s="117">
        <f t="shared" ca="1" si="26"/>
        <v>-18884.512377224317</v>
      </c>
      <c r="W75" s="117">
        <f t="shared" ca="1" si="26"/>
        <v>-19049.751860525026</v>
      </c>
      <c r="X75" s="117">
        <f t="shared" ca="1" si="26"/>
        <v>-19216.437189304619</v>
      </c>
      <c r="Y75" s="117">
        <f t="shared" ca="1" si="26"/>
        <v>-19384.581014711035</v>
      </c>
      <c r="Z75" s="117">
        <f t="shared" ca="1" si="26"/>
        <v>-19554.196098589757</v>
      </c>
      <c r="AA75" s="117">
        <f t="shared" ca="1" si="26"/>
        <v>-19725.295314452418</v>
      </c>
      <c r="AB75" s="117">
        <f t="shared" ca="1" si="26"/>
        <v>-142725.43757371034</v>
      </c>
      <c r="AC75" s="117">
        <f t="shared" ca="1" si="26"/>
        <v>-19897.891648453875</v>
      </c>
      <c r="AD75" s="117">
        <f t="shared" ca="1" si="26"/>
        <v>-20071.99820037785</v>
      </c>
      <c r="AE75" s="117">
        <f t="shared" ca="1" si="26"/>
        <v>-20247.628184631154</v>
      </c>
      <c r="AF75" s="117">
        <f t="shared" ca="1" si="26"/>
        <v>-20424.794931246677</v>
      </c>
      <c r="AG75" s="117">
        <f t="shared" ca="1" si="26"/>
        <v>53440.695584746107</v>
      </c>
      <c r="AH75" s="117">
        <f t="shared" ca="1" si="26"/>
        <v>-21747.948328887367</v>
      </c>
      <c r="AI75" s="117">
        <f t="shared" ca="1" si="26"/>
        <v>-21938.242876765133</v>
      </c>
      <c r="AJ75" s="117">
        <f t="shared" ca="1" si="26"/>
        <v>-22130.202501936827</v>
      </c>
      <c r="AK75" s="117">
        <f t="shared" ca="1" si="26"/>
        <v>-22323.841773828775</v>
      </c>
      <c r="AL75" s="117">
        <f t="shared" ca="1" si="26"/>
        <v>-22519.175389349777</v>
      </c>
      <c r="AM75" s="117">
        <f t="shared" ca="1" si="26"/>
        <v>6901.4648146498912</v>
      </c>
      <c r="AN75" s="117">
        <f t="shared" ca="1" si="26"/>
        <v>-23300.647368221922</v>
      </c>
      <c r="AO75" s="117">
        <f t="shared" ca="1" si="26"/>
        <v>-154260.21080430335</v>
      </c>
    </row>
    <row r="76" spans="1:41" ht="15" customHeight="1" x14ac:dyDescent="0.3">
      <c r="C76" s="4"/>
      <c r="D76" s="4"/>
      <c r="E76" s="4"/>
      <c r="F76" s="4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 ht="15" customHeight="1" x14ac:dyDescent="0.3">
      <c r="B77" s="3" t="s">
        <v>103</v>
      </c>
      <c r="C77" s="4">
        <f ca="1">SUM(C65,C69,C75)</f>
        <v>-16687.161383671191</v>
      </c>
      <c r="D77" s="4">
        <f t="shared" ref="D77:AO77" ca="1" si="27">SUM(D65,D69,D75)</f>
        <v>-7235.2527815205394</v>
      </c>
      <c r="E77" s="4">
        <f t="shared" ca="1" si="27"/>
        <v>23377.059046436414</v>
      </c>
      <c r="F77" s="4">
        <f t="shared" ca="1" si="27"/>
        <v>-8370.3065449615096</v>
      </c>
      <c r="G77" s="4">
        <f t="shared" ca="1" si="27"/>
        <v>122119.49696561394</v>
      </c>
      <c r="H77" s="4">
        <f t="shared" ca="1" si="27"/>
        <v>-106681.73663321267</v>
      </c>
      <c r="I77" s="4">
        <f t="shared" ca="1" si="27"/>
        <v>23290.787288194486</v>
      </c>
      <c r="J77" s="4">
        <f t="shared" ca="1" si="27"/>
        <v>35434.496965613798</v>
      </c>
      <c r="K77" s="4">
        <f t="shared" ca="1" si="27"/>
        <v>-38474.857873095709</v>
      </c>
      <c r="L77" s="4">
        <f t="shared" ca="1" si="27"/>
        <v>22952.91632045259</v>
      </c>
      <c r="M77" s="4">
        <f t="shared" ca="1" si="27"/>
        <v>45976.029223678466</v>
      </c>
      <c r="N77" s="4">
        <f t="shared" ca="1" si="27"/>
        <v>-19041.548099527077</v>
      </c>
      <c r="O77" s="4">
        <f t="shared" ca="1" si="27"/>
        <v>76659.922494001046</v>
      </c>
      <c r="P77" s="4">
        <f t="shared" ca="1" si="27"/>
        <v>-41166.393587381572</v>
      </c>
      <c r="Q77" s="4">
        <f t="shared" ca="1" si="27"/>
        <v>38207.996965613929</v>
      </c>
      <c r="R77" s="4">
        <f t="shared" ca="1" si="27"/>
        <v>6182.7389010977204</v>
      </c>
      <c r="S77" s="4">
        <f t="shared" ca="1" si="27"/>
        <v>86953.88816117098</v>
      </c>
      <c r="T77" s="4">
        <f t="shared" ca="1" si="27"/>
        <v>47861.63009665483</v>
      </c>
      <c r="U77" s="4">
        <f t="shared" ca="1" si="27"/>
        <v>8037.8848348841493</v>
      </c>
      <c r="V77" s="4">
        <f t="shared" ca="1" si="27"/>
        <v>-9904.4182904419704</v>
      </c>
      <c r="W77" s="4">
        <f t="shared" ca="1" si="27"/>
        <v>-35009.127967861306</v>
      </c>
      <c r="X77" s="4">
        <f t="shared" ca="1" si="27"/>
        <v>18414.909666547312</v>
      </c>
      <c r="Y77" s="4">
        <f t="shared" ca="1" si="27"/>
        <v>-6868.359150657092</v>
      </c>
      <c r="Z77" s="4">
        <f t="shared" ca="1" si="27"/>
        <v>2104.4849353645295</v>
      </c>
      <c r="AA77" s="4">
        <f t="shared" ca="1" si="27"/>
        <v>-44137.849400063526</v>
      </c>
      <c r="AB77" s="4">
        <f t="shared" ca="1" si="27"/>
        <v>70677.385164928157</v>
      </c>
      <c r="AC77" s="4">
        <f t="shared" ca="1" si="27"/>
        <v>73097.813276378249</v>
      </c>
      <c r="AD77" s="4">
        <f t="shared" ca="1" si="27"/>
        <v>-91188.805387216125</v>
      </c>
      <c r="AE77" s="4">
        <f t="shared" ca="1" si="27"/>
        <v>32615.872032138686</v>
      </c>
      <c r="AF77" s="4">
        <f t="shared" ca="1" si="27"/>
        <v>-15972.757000119378</v>
      </c>
      <c r="AG77" s="4">
        <f t="shared" ca="1" si="27"/>
        <v>67976.00692313473</v>
      </c>
      <c r="AH77" s="4">
        <f t="shared" ca="1" si="27"/>
        <v>-51212.660845498598</v>
      </c>
      <c r="AI77" s="4">
        <f t="shared" ca="1" si="27"/>
        <v>-2154.8156575104331</v>
      </c>
      <c r="AJ77" s="4">
        <f t="shared" ca="1" si="27"/>
        <v>50949.797245715352</v>
      </c>
      <c r="AK77" s="4">
        <f t="shared" ca="1" si="27"/>
        <v>-1553.7672704136749</v>
      </c>
      <c r="AL77" s="4">
        <f t="shared" ca="1" si="27"/>
        <v>-68624.767270413737</v>
      </c>
      <c r="AM77" s="4">
        <f t="shared" ca="1" si="27"/>
        <v>65479.302815017014</v>
      </c>
      <c r="AN77" s="4">
        <f t="shared" ca="1" si="27"/>
        <v>-84564.218122060833</v>
      </c>
      <c r="AO77" s="4">
        <f t="shared" ca="1" si="27"/>
        <v>-25152.999260848737</v>
      </c>
    </row>
    <row r="78" spans="1:41" ht="15" customHeight="1" x14ac:dyDescent="0.3">
      <c r="C78" s="4"/>
      <c r="D78" s="4"/>
      <c r="E78" s="4"/>
      <c r="F78" s="4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1" ht="15" customHeight="1" x14ac:dyDescent="0.3">
      <c r="B79" s="3" t="s">
        <v>104</v>
      </c>
      <c r="C79" s="4">
        <f>BalanceSheets!C10</f>
        <v>21000</v>
      </c>
      <c r="D79" s="4">
        <f ca="1">C81</f>
        <v>4312.8386163288087</v>
      </c>
      <c r="E79" s="4">
        <f t="shared" ref="E79:AN79" ca="1" si="28">D81</f>
        <v>-2922.4141651917307</v>
      </c>
      <c r="F79" s="4">
        <f t="shared" ca="1" si="28"/>
        <v>20454.644881244683</v>
      </c>
      <c r="G79" s="4">
        <f t="shared" ca="1" si="28"/>
        <v>12084.338336283174</v>
      </c>
      <c r="H79" s="4">
        <f t="shared" ca="1" si="28"/>
        <v>134203.83530189711</v>
      </c>
      <c r="I79" s="4">
        <f t="shared" ca="1" si="28"/>
        <v>27522.098668684441</v>
      </c>
      <c r="J79" s="4">
        <f t="shared" ca="1" si="28"/>
        <v>50812.885956878927</v>
      </c>
      <c r="K79" s="4">
        <f t="shared" ca="1" si="28"/>
        <v>86247.382922492718</v>
      </c>
      <c r="L79" s="4">
        <f t="shared" ca="1" si="28"/>
        <v>47772.525049397009</v>
      </c>
      <c r="M79" s="4">
        <f t="shared" ca="1" si="28"/>
        <v>70725.441369849606</v>
      </c>
      <c r="N79" s="4">
        <f t="shared" ca="1" si="28"/>
        <v>116701.47059352807</v>
      </c>
      <c r="O79" s="4">
        <f>C79</f>
        <v>21000</v>
      </c>
      <c r="P79" s="4">
        <f t="shared" ca="1" si="28"/>
        <v>97659.922494001046</v>
      </c>
      <c r="Q79" s="4">
        <f t="shared" ca="1" si="28"/>
        <v>56493.528906619475</v>
      </c>
      <c r="R79" s="4">
        <f t="shared" ca="1" si="28"/>
        <v>94701.525872233411</v>
      </c>
      <c r="S79" s="4">
        <f t="shared" ca="1" si="28"/>
        <v>100884.26477333113</v>
      </c>
      <c r="T79" s="4">
        <f t="shared" ca="1" si="28"/>
        <v>187838.15293450211</v>
      </c>
      <c r="U79" s="4">
        <f t="shared" ca="1" si="28"/>
        <v>235699.78303115693</v>
      </c>
      <c r="V79" s="4">
        <f t="shared" ca="1" si="28"/>
        <v>243737.66786604107</v>
      </c>
      <c r="W79" s="4">
        <f t="shared" ca="1" si="28"/>
        <v>233833.2495755991</v>
      </c>
      <c r="X79" s="4">
        <f t="shared" ca="1" si="28"/>
        <v>198824.12160773779</v>
      </c>
      <c r="Y79" s="4">
        <f t="shared" ca="1" si="28"/>
        <v>217239.03127428511</v>
      </c>
      <c r="Z79" s="4">
        <f t="shared" ca="1" si="28"/>
        <v>210370.67212362803</v>
      </c>
      <c r="AA79" s="4">
        <f t="shared" ca="1" si="28"/>
        <v>212475.15705899257</v>
      </c>
      <c r="AB79" s="4">
        <f ca="1">P79</f>
        <v>97659.922494001046</v>
      </c>
      <c r="AC79" s="4">
        <f t="shared" ca="1" si="28"/>
        <v>168337.3076589292</v>
      </c>
      <c r="AD79" s="4">
        <f t="shared" ca="1" si="28"/>
        <v>241435.12093530747</v>
      </c>
      <c r="AE79" s="4">
        <f t="shared" ca="1" si="28"/>
        <v>150246.31554809134</v>
      </c>
      <c r="AF79" s="4">
        <f t="shared" ca="1" si="28"/>
        <v>182862.18758023003</v>
      </c>
      <c r="AG79" s="4">
        <f t="shared" ca="1" si="28"/>
        <v>166889.43058011067</v>
      </c>
      <c r="AH79" s="4">
        <f t="shared" ca="1" si="28"/>
        <v>234865.4375032454</v>
      </c>
      <c r="AI79" s="4">
        <f t="shared" ca="1" si="28"/>
        <v>183652.77665774681</v>
      </c>
      <c r="AJ79" s="4">
        <f t="shared" ca="1" si="28"/>
        <v>181497.96100023639</v>
      </c>
      <c r="AK79" s="4">
        <f t="shared" ca="1" si="28"/>
        <v>232447.75824595173</v>
      </c>
      <c r="AL79" s="4">
        <f t="shared" ca="1" si="28"/>
        <v>230893.99097553806</v>
      </c>
      <c r="AM79" s="4">
        <f t="shared" ca="1" si="28"/>
        <v>162269.22370512434</v>
      </c>
      <c r="AN79" s="4">
        <f t="shared" ca="1" si="28"/>
        <v>227748.52652014134</v>
      </c>
      <c r="AO79" s="4">
        <f ca="1">AC79</f>
        <v>168337.3076589292</v>
      </c>
    </row>
    <row r="80" spans="1:41" ht="15" customHeight="1" x14ac:dyDescent="0.3">
      <c r="C80" s="4"/>
      <c r="D80" s="4"/>
      <c r="E80" s="4"/>
      <c r="F80" s="4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</row>
    <row r="81" spans="2:41" ht="15" customHeight="1" thickBot="1" x14ac:dyDescent="0.4">
      <c r="B81" s="43" t="s">
        <v>105</v>
      </c>
      <c r="C81" s="60">
        <f ca="1">SUM(C77,C79)</f>
        <v>4312.8386163288087</v>
      </c>
      <c r="D81" s="60">
        <f t="shared" ref="D81:AO81" ca="1" si="29">SUM(D77,D79)</f>
        <v>-2922.4141651917307</v>
      </c>
      <c r="E81" s="60">
        <f t="shared" ca="1" si="29"/>
        <v>20454.644881244683</v>
      </c>
      <c r="F81" s="60">
        <f t="shared" ca="1" si="29"/>
        <v>12084.338336283174</v>
      </c>
      <c r="G81" s="60">
        <f t="shared" ca="1" si="29"/>
        <v>134203.83530189711</v>
      </c>
      <c r="H81" s="60">
        <f t="shared" ca="1" si="29"/>
        <v>27522.098668684441</v>
      </c>
      <c r="I81" s="60">
        <f t="shared" ca="1" si="29"/>
        <v>50812.885956878927</v>
      </c>
      <c r="J81" s="60">
        <f t="shared" ca="1" si="29"/>
        <v>86247.382922492718</v>
      </c>
      <c r="K81" s="60">
        <f t="shared" ca="1" si="29"/>
        <v>47772.525049397009</v>
      </c>
      <c r="L81" s="60">
        <f t="shared" ca="1" si="29"/>
        <v>70725.441369849606</v>
      </c>
      <c r="M81" s="60">
        <f t="shared" ca="1" si="29"/>
        <v>116701.47059352807</v>
      </c>
      <c r="N81" s="60">
        <f t="shared" ca="1" si="29"/>
        <v>97659.922494000988</v>
      </c>
      <c r="O81" s="60">
        <f t="shared" ca="1" si="29"/>
        <v>97659.922494001046</v>
      </c>
      <c r="P81" s="60">
        <f t="shared" ca="1" si="29"/>
        <v>56493.528906619475</v>
      </c>
      <c r="Q81" s="60">
        <f t="shared" ca="1" si="29"/>
        <v>94701.525872233411</v>
      </c>
      <c r="R81" s="60">
        <f t="shared" ca="1" si="29"/>
        <v>100884.26477333113</v>
      </c>
      <c r="S81" s="60">
        <f t="shared" ca="1" si="29"/>
        <v>187838.15293450211</v>
      </c>
      <c r="T81" s="60">
        <f t="shared" ca="1" si="29"/>
        <v>235699.78303115693</v>
      </c>
      <c r="U81" s="60">
        <f t="shared" ca="1" si="29"/>
        <v>243737.66786604107</v>
      </c>
      <c r="V81" s="60">
        <f t="shared" ca="1" si="29"/>
        <v>233833.2495755991</v>
      </c>
      <c r="W81" s="60">
        <f t="shared" ca="1" si="29"/>
        <v>198824.12160773779</v>
      </c>
      <c r="X81" s="60">
        <f t="shared" ca="1" si="29"/>
        <v>217239.03127428511</v>
      </c>
      <c r="Y81" s="60">
        <f t="shared" ca="1" si="29"/>
        <v>210370.67212362803</v>
      </c>
      <c r="Z81" s="60">
        <f t="shared" ca="1" si="29"/>
        <v>212475.15705899257</v>
      </c>
      <c r="AA81" s="60">
        <f t="shared" ca="1" si="29"/>
        <v>168337.30765892903</v>
      </c>
      <c r="AB81" s="60">
        <f t="shared" ca="1" si="29"/>
        <v>168337.3076589292</v>
      </c>
      <c r="AC81" s="60">
        <f t="shared" ca="1" si="29"/>
        <v>241435.12093530747</v>
      </c>
      <c r="AD81" s="60">
        <f t="shared" ca="1" si="29"/>
        <v>150246.31554809134</v>
      </c>
      <c r="AE81" s="60">
        <f t="shared" ca="1" si="29"/>
        <v>182862.18758023003</v>
      </c>
      <c r="AF81" s="60">
        <f t="shared" ca="1" si="29"/>
        <v>166889.43058011067</v>
      </c>
      <c r="AG81" s="60">
        <f t="shared" ca="1" si="29"/>
        <v>234865.4375032454</v>
      </c>
      <c r="AH81" s="60">
        <f t="shared" ca="1" si="29"/>
        <v>183652.77665774681</v>
      </c>
      <c r="AI81" s="60">
        <f t="shared" ca="1" si="29"/>
        <v>181497.96100023639</v>
      </c>
      <c r="AJ81" s="60">
        <f t="shared" ca="1" si="29"/>
        <v>232447.75824595173</v>
      </c>
      <c r="AK81" s="60">
        <f t="shared" ca="1" si="29"/>
        <v>230893.99097553806</v>
      </c>
      <c r="AL81" s="60">
        <f t="shared" ca="1" si="29"/>
        <v>162269.22370512434</v>
      </c>
      <c r="AM81" s="60">
        <f t="shared" ca="1" si="29"/>
        <v>227748.52652014134</v>
      </c>
      <c r="AN81" s="60">
        <f t="shared" ca="1" si="29"/>
        <v>143184.30839808052</v>
      </c>
      <c r="AO81" s="60">
        <f t="shared" ca="1" si="29"/>
        <v>143184.30839808047</v>
      </c>
    </row>
    <row r="82" spans="2:41" ht="15" customHeight="1" thickTop="1" x14ac:dyDescent="0.3"/>
    <row r="83" spans="2:41" ht="15" customHeight="1" x14ac:dyDescent="0.35">
      <c r="B83" s="11"/>
    </row>
    <row r="88" spans="2:41" s="15" customFormat="1" ht="15" customHeight="1" x14ac:dyDescent="0.3">
      <c r="B88" s="61"/>
    </row>
    <row r="93" spans="2:41" s="15" customFormat="1" ht="15" customHeight="1" x14ac:dyDescent="0.3">
      <c r="B93" s="61"/>
    </row>
    <row r="94" spans="2:41" s="15" customFormat="1" ht="15" customHeight="1" x14ac:dyDescent="0.3">
      <c r="B94" s="61"/>
    </row>
    <row r="109" spans="2:2" s="15" customFormat="1" ht="15" customHeight="1" x14ac:dyDescent="0.3">
      <c r="B109" s="61"/>
    </row>
  </sheetData>
  <phoneticPr fontId="3" type="noConversion"/>
  <pageMargins left="0.55118110236220474" right="0.55118110236220474" top="0.59055118110236227" bottom="0.59055118110236227" header="0.39370078740157483" footer="0.39370078740157483"/>
  <pageSetup paperSize="9" scale="65" fitToWidth="3" orientation="landscape" r:id="rId1"/>
  <headerFooter alignWithMargins="0">
    <oddFooter>&amp;C&amp;9Page &amp;P of &amp;N</oddFooter>
  </headerFooter>
  <rowBreaks count="1" manualBreakCount="1">
    <brk id="47" min="1" max="40" man="1"/>
  </rowBreaks>
  <colBreaks count="2" manualBreakCount="2">
    <brk id="15" max="58" man="1"/>
    <brk id="28" max="58" man="1"/>
  </colBreaks>
  <ignoredErrors>
    <ignoredError sqref="AB53:AB57 O53:O57 O62:O63 AB62:AB63 AO62 O79 AB7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9"/>
  <sheetViews>
    <sheetView zoomScale="95" zoomScaleNormal="95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defaultColWidth="9.1328125" defaultRowHeight="15" customHeight="1" x14ac:dyDescent="0.3"/>
  <cols>
    <col min="1" max="1" width="3.73046875" style="5" customWidth="1"/>
    <col min="2" max="2" width="38.73046875" style="3" customWidth="1"/>
    <col min="3" max="6" width="12.73046875" style="29" customWidth="1"/>
    <col min="7" max="14" width="12.73046875" style="5" customWidth="1"/>
    <col min="15" max="15" width="13.73046875" style="5" customWidth="1"/>
    <col min="16" max="27" width="12.73046875" style="5" customWidth="1"/>
    <col min="28" max="28" width="13.73046875" style="5" customWidth="1"/>
    <col min="29" max="40" width="12.73046875" style="5" customWidth="1"/>
    <col min="41" max="41" width="13.73046875" style="5" customWidth="1"/>
    <col min="42" max="16384" width="9.1328125" style="5"/>
  </cols>
  <sheetData>
    <row r="1" spans="1:41" x14ac:dyDescent="0.4">
      <c r="B1" s="1" t="str">
        <f>Assumptions!$B$4</f>
        <v>Example Trading Limited</v>
      </c>
    </row>
    <row r="2" spans="1:41" ht="15" customHeight="1" x14ac:dyDescent="0.35">
      <c r="B2" s="11" t="s">
        <v>106</v>
      </c>
    </row>
    <row r="3" spans="1:41" ht="15" customHeight="1" x14ac:dyDescent="0.3">
      <c r="B3" s="44" t="s">
        <v>76</v>
      </c>
    </row>
    <row r="4" spans="1:41" s="51" customFormat="1" ht="18" customHeight="1" x14ac:dyDescent="0.35">
      <c r="B4" s="52"/>
      <c r="C4" s="53">
        <f ca="1">IF(ISBLANK(Assumptions!$B$5)=TRUE,DATE(YEAR(TODAY()),MONTH(TODAY())+1,0),DATE(YEAR(Assumptions!$B$5),MONTH(Assumptions!$B$5)+1,0))</f>
        <v>42460</v>
      </c>
      <c r="D4" s="53">
        <f t="shared" ref="D4:N4" ca="1" si="0">DATE(YEAR(C4),MONTH(C4)+2,0)</f>
        <v>42490</v>
      </c>
      <c r="E4" s="53">
        <f t="shared" ca="1" si="0"/>
        <v>42521</v>
      </c>
      <c r="F4" s="53">
        <f t="shared" ca="1" si="0"/>
        <v>42551</v>
      </c>
      <c r="G4" s="53">
        <f t="shared" ca="1" si="0"/>
        <v>42582</v>
      </c>
      <c r="H4" s="53">
        <f t="shared" ca="1" si="0"/>
        <v>42613</v>
      </c>
      <c r="I4" s="53">
        <f t="shared" ca="1" si="0"/>
        <v>42643</v>
      </c>
      <c r="J4" s="53">
        <f t="shared" ca="1" si="0"/>
        <v>42674</v>
      </c>
      <c r="K4" s="53">
        <f t="shared" ca="1" si="0"/>
        <v>42704</v>
      </c>
      <c r="L4" s="53">
        <f t="shared" ca="1" si="0"/>
        <v>42735</v>
      </c>
      <c r="M4" s="53">
        <f t="shared" ca="1" si="0"/>
        <v>42766</v>
      </c>
      <c r="N4" s="53">
        <f t="shared" ca="1" si="0"/>
        <v>42794</v>
      </c>
      <c r="O4" s="54" t="str">
        <f ca="1">"Year "&amp;YEAR(N4)</f>
        <v>Year 2017</v>
      </c>
      <c r="P4" s="53">
        <f ca="1">DATE(YEAR(N4),MONTH(N4)+2,0)</f>
        <v>42825</v>
      </c>
      <c r="Q4" s="53">
        <f t="shared" ref="Q4:AA4" ca="1" si="1">DATE(YEAR(P4),MONTH(P4)+2,0)</f>
        <v>42855</v>
      </c>
      <c r="R4" s="53">
        <f t="shared" ca="1" si="1"/>
        <v>42886</v>
      </c>
      <c r="S4" s="53">
        <f t="shared" ca="1" si="1"/>
        <v>42916</v>
      </c>
      <c r="T4" s="53">
        <f t="shared" ca="1" si="1"/>
        <v>42947</v>
      </c>
      <c r="U4" s="53">
        <f t="shared" ca="1" si="1"/>
        <v>42978</v>
      </c>
      <c r="V4" s="53">
        <f t="shared" ca="1" si="1"/>
        <v>43008</v>
      </c>
      <c r="W4" s="53">
        <f t="shared" ca="1" si="1"/>
        <v>43039</v>
      </c>
      <c r="X4" s="53">
        <f t="shared" ca="1" si="1"/>
        <v>43069</v>
      </c>
      <c r="Y4" s="53">
        <f t="shared" ca="1" si="1"/>
        <v>43100</v>
      </c>
      <c r="Z4" s="53">
        <f t="shared" ca="1" si="1"/>
        <v>43131</v>
      </c>
      <c r="AA4" s="53">
        <f t="shared" ca="1" si="1"/>
        <v>43159</v>
      </c>
      <c r="AB4" s="54" t="str">
        <f ca="1">"Year "&amp;YEAR(AA4)</f>
        <v>Year 2018</v>
      </c>
      <c r="AC4" s="53">
        <f ca="1">DATE(YEAR(AA4),MONTH(AA4)+2,0)</f>
        <v>43190</v>
      </c>
      <c r="AD4" s="53">
        <f t="shared" ref="AD4:AN4" ca="1" si="2">DATE(YEAR(AC4),MONTH(AC4)+2,0)</f>
        <v>43220</v>
      </c>
      <c r="AE4" s="53">
        <f t="shared" ca="1" si="2"/>
        <v>43251</v>
      </c>
      <c r="AF4" s="53">
        <f t="shared" ca="1" si="2"/>
        <v>43281</v>
      </c>
      <c r="AG4" s="53">
        <f t="shared" ca="1" si="2"/>
        <v>43312</v>
      </c>
      <c r="AH4" s="53">
        <f t="shared" ca="1" si="2"/>
        <v>43343</v>
      </c>
      <c r="AI4" s="53">
        <f t="shared" ca="1" si="2"/>
        <v>43373</v>
      </c>
      <c r="AJ4" s="53">
        <f t="shared" ca="1" si="2"/>
        <v>43404</v>
      </c>
      <c r="AK4" s="53">
        <f t="shared" ca="1" si="2"/>
        <v>43434</v>
      </c>
      <c r="AL4" s="53">
        <f t="shared" ca="1" si="2"/>
        <v>43465</v>
      </c>
      <c r="AM4" s="53">
        <f t="shared" ca="1" si="2"/>
        <v>43496</v>
      </c>
      <c r="AN4" s="53">
        <f t="shared" ca="1" si="2"/>
        <v>43524</v>
      </c>
      <c r="AO4" s="54" t="str">
        <f ca="1">"Year "&amp;YEAR(AN4)</f>
        <v>Year 2019</v>
      </c>
    </row>
    <row r="5" spans="1:41" s="16" customFormat="1" ht="15" customHeight="1" x14ac:dyDescent="0.35">
      <c r="A5" s="36"/>
      <c r="B5" s="55" t="s">
        <v>0</v>
      </c>
      <c r="C5" s="56">
        <v>298700</v>
      </c>
      <c r="D5" s="57">
        <v>335243</v>
      </c>
      <c r="E5" s="57">
        <v>319070</v>
      </c>
      <c r="F5" s="57">
        <v>321090</v>
      </c>
      <c r="G5" s="57">
        <v>315642</v>
      </c>
      <c r="H5" s="57">
        <v>319030</v>
      </c>
      <c r="I5" s="57">
        <v>342080</v>
      </c>
      <c r="J5" s="57">
        <v>337070</v>
      </c>
      <c r="K5" s="57">
        <v>387010</v>
      </c>
      <c r="L5" s="57">
        <v>362098</v>
      </c>
      <c r="M5" s="57">
        <v>365209</v>
      </c>
      <c r="N5" s="57">
        <v>345100</v>
      </c>
      <c r="O5" s="57">
        <f>SUM(C5:N5)</f>
        <v>4047342</v>
      </c>
      <c r="P5" s="57">
        <v>320900</v>
      </c>
      <c r="Q5" s="57">
        <v>319008</v>
      </c>
      <c r="R5" s="57">
        <v>354109</v>
      </c>
      <c r="S5" s="57">
        <v>367981</v>
      </c>
      <c r="T5" s="57">
        <v>362098</v>
      </c>
      <c r="U5" s="57">
        <v>325679</v>
      </c>
      <c r="V5" s="57">
        <v>327070</v>
      </c>
      <c r="W5" s="57">
        <v>342890</v>
      </c>
      <c r="X5" s="57">
        <v>335672</v>
      </c>
      <c r="Y5" s="57">
        <v>367980</v>
      </c>
      <c r="Z5" s="57">
        <v>362874</v>
      </c>
      <c r="AA5" s="57">
        <v>351208</v>
      </c>
      <c r="AB5" s="57">
        <f>SUM(P5:AA5)</f>
        <v>4137469</v>
      </c>
      <c r="AC5" s="57">
        <v>325070</v>
      </c>
      <c r="AD5" s="57">
        <v>372070</v>
      </c>
      <c r="AE5" s="57">
        <v>345230</v>
      </c>
      <c r="AF5" s="57">
        <v>378996</v>
      </c>
      <c r="AG5" s="57">
        <v>361208</v>
      </c>
      <c r="AH5" s="57">
        <v>401920</v>
      </c>
      <c r="AI5" s="57">
        <v>382080</v>
      </c>
      <c r="AJ5" s="57">
        <v>384391</v>
      </c>
      <c r="AK5" s="57">
        <v>372450</v>
      </c>
      <c r="AL5" s="57">
        <v>381200</v>
      </c>
      <c r="AM5" s="57">
        <v>373450</v>
      </c>
      <c r="AN5" s="57">
        <v>362300</v>
      </c>
      <c r="AO5" s="57">
        <f>SUM(AC5:AN5)</f>
        <v>4440365</v>
      </c>
    </row>
    <row r="6" spans="1:41" s="29" customFormat="1" ht="15" customHeight="1" x14ac:dyDescent="0.3">
      <c r="B6" s="2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s="16" customFormat="1" ht="15" customHeight="1" x14ac:dyDescent="0.35">
      <c r="B7" s="55" t="s">
        <v>1</v>
      </c>
      <c r="C7" s="58">
        <f t="shared" ref="C7:N7" si="3">SUM(C5,-C9)</f>
        <v>194752.40000000002</v>
      </c>
      <c r="D7" s="58">
        <f t="shared" si="3"/>
        <v>215226.00599999999</v>
      </c>
      <c r="E7" s="58">
        <f t="shared" si="3"/>
        <v>208990.85</v>
      </c>
      <c r="F7" s="58">
        <f t="shared" si="3"/>
        <v>210635.04</v>
      </c>
      <c r="G7" s="58">
        <f t="shared" si="3"/>
        <v>205798.584</v>
      </c>
      <c r="H7" s="58">
        <f t="shared" si="3"/>
        <v>207369.5</v>
      </c>
      <c r="I7" s="58">
        <f t="shared" si="3"/>
        <v>217562.88</v>
      </c>
      <c r="J7" s="58">
        <f t="shared" si="3"/>
        <v>214039.45</v>
      </c>
      <c r="K7" s="58">
        <f t="shared" si="3"/>
        <v>243429.29</v>
      </c>
      <c r="L7" s="58">
        <f t="shared" si="3"/>
        <v>224862.85800000001</v>
      </c>
      <c r="M7" s="58">
        <f t="shared" si="3"/>
        <v>231907.715</v>
      </c>
      <c r="N7" s="58">
        <f t="shared" si="3"/>
        <v>214307.1</v>
      </c>
      <c r="O7" s="58">
        <f>SUM(C7:N7)</f>
        <v>2588881.673</v>
      </c>
      <c r="P7" s="58">
        <f t="shared" ref="P7:AA7" si="4">SUM(P5,-P9)</f>
        <v>198637.09999999998</v>
      </c>
      <c r="Q7" s="58">
        <f t="shared" si="4"/>
        <v>199060.992</v>
      </c>
      <c r="R7" s="58">
        <f t="shared" si="4"/>
        <v>221672.234</v>
      </c>
      <c r="S7" s="58">
        <f t="shared" si="4"/>
        <v>231092.068</v>
      </c>
      <c r="T7" s="58">
        <f t="shared" si="4"/>
        <v>225949.152</v>
      </c>
      <c r="U7" s="58">
        <f t="shared" si="4"/>
        <v>198012.83199999999</v>
      </c>
      <c r="V7" s="58">
        <f t="shared" si="4"/>
        <v>204745.82</v>
      </c>
      <c r="W7" s="58">
        <f t="shared" si="4"/>
        <v>212934.69</v>
      </c>
      <c r="X7" s="58">
        <f t="shared" si="4"/>
        <v>207445.296</v>
      </c>
      <c r="Y7" s="58">
        <f t="shared" si="4"/>
        <v>226307.69999999998</v>
      </c>
      <c r="Z7" s="58">
        <f t="shared" si="4"/>
        <v>221716.014</v>
      </c>
      <c r="AA7" s="58">
        <f t="shared" si="4"/>
        <v>215641.712</v>
      </c>
      <c r="AB7" s="58">
        <f>SUM(P7:AA7)</f>
        <v>2563215.61</v>
      </c>
      <c r="AC7" s="58">
        <f t="shared" ref="AC7:AN7" si="5">SUM(AC5,-AC9)</f>
        <v>196342.28</v>
      </c>
      <c r="AD7" s="58">
        <f t="shared" si="5"/>
        <v>227334.77</v>
      </c>
      <c r="AE7" s="58">
        <f t="shared" si="5"/>
        <v>208864.15</v>
      </c>
      <c r="AF7" s="58">
        <f t="shared" si="5"/>
        <v>232324.54800000001</v>
      </c>
      <c r="AG7" s="58">
        <f t="shared" si="5"/>
        <v>216363.592</v>
      </c>
      <c r="AH7" s="58">
        <f t="shared" si="5"/>
        <v>242357.75999999998</v>
      </c>
      <c r="AI7" s="58">
        <f t="shared" si="5"/>
        <v>231922.56</v>
      </c>
      <c r="AJ7" s="58">
        <f t="shared" si="5"/>
        <v>229481.427</v>
      </c>
      <c r="AK7" s="58">
        <f t="shared" si="5"/>
        <v>223097.55</v>
      </c>
      <c r="AL7" s="58">
        <f t="shared" si="5"/>
        <v>230626</v>
      </c>
      <c r="AM7" s="58">
        <f t="shared" si="5"/>
        <v>221082.40000000002</v>
      </c>
      <c r="AN7" s="58">
        <f t="shared" si="5"/>
        <v>213394.7</v>
      </c>
      <c r="AO7" s="58">
        <f>SUM(AC7:AN7)</f>
        <v>2673191.7370000002</v>
      </c>
    </row>
    <row r="8" spans="1:41" s="29" customFormat="1" ht="15" customHeight="1" x14ac:dyDescent="0.3">
      <c r="B8" s="2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6" customFormat="1" ht="15" customHeight="1" x14ac:dyDescent="0.35">
      <c r="B9" s="55" t="s">
        <v>2</v>
      </c>
      <c r="C9" s="58">
        <f t="shared" ref="C9:N9" si="6">C5*C10</f>
        <v>103947.59999999999</v>
      </c>
      <c r="D9" s="58">
        <f t="shared" si="6"/>
        <v>120016.99399999999</v>
      </c>
      <c r="E9" s="58">
        <f t="shared" si="6"/>
        <v>110079.15</v>
      </c>
      <c r="F9" s="58">
        <f t="shared" si="6"/>
        <v>110454.95999999999</v>
      </c>
      <c r="G9" s="58">
        <f t="shared" si="6"/>
        <v>109843.416</v>
      </c>
      <c r="H9" s="58">
        <f t="shared" si="6"/>
        <v>111660.5</v>
      </c>
      <c r="I9" s="58">
        <f t="shared" si="6"/>
        <v>124517.12</v>
      </c>
      <c r="J9" s="58">
        <f t="shared" si="6"/>
        <v>123030.55</v>
      </c>
      <c r="K9" s="58">
        <f t="shared" si="6"/>
        <v>143580.71</v>
      </c>
      <c r="L9" s="58">
        <f t="shared" si="6"/>
        <v>137235.14199999999</v>
      </c>
      <c r="M9" s="58">
        <f t="shared" si="6"/>
        <v>133301.285</v>
      </c>
      <c r="N9" s="58">
        <f t="shared" si="6"/>
        <v>130792.9</v>
      </c>
      <c r="O9" s="58">
        <f>SUM(C9:N9)</f>
        <v>1458460.3269999998</v>
      </c>
      <c r="P9" s="58">
        <f t="shared" ref="P9:AA9" si="7">P5*P10</f>
        <v>122262.90000000001</v>
      </c>
      <c r="Q9" s="58">
        <f t="shared" si="7"/>
        <v>119947.008</v>
      </c>
      <c r="R9" s="58">
        <f t="shared" si="7"/>
        <v>132436.766</v>
      </c>
      <c r="S9" s="58">
        <f t="shared" si="7"/>
        <v>136888.932</v>
      </c>
      <c r="T9" s="58">
        <f t="shared" si="7"/>
        <v>136148.848</v>
      </c>
      <c r="U9" s="58">
        <f t="shared" si="7"/>
        <v>127666.16800000001</v>
      </c>
      <c r="V9" s="58">
        <f t="shared" si="7"/>
        <v>122324.18</v>
      </c>
      <c r="W9" s="58">
        <f t="shared" si="7"/>
        <v>129955.31</v>
      </c>
      <c r="X9" s="58">
        <f t="shared" si="7"/>
        <v>128226.704</v>
      </c>
      <c r="Y9" s="58">
        <f t="shared" si="7"/>
        <v>141672.30000000002</v>
      </c>
      <c r="Z9" s="58">
        <f t="shared" si="7"/>
        <v>141157.986</v>
      </c>
      <c r="AA9" s="58">
        <f t="shared" si="7"/>
        <v>135566.288</v>
      </c>
      <c r="AB9" s="58">
        <f>SUM(P9:AA9)</f>
        <v>1574253.39</v>
      </c>
      <c r="AC9" s="58">
        <f t="shared" ref="AC9:AN9" si="8">AC5*AC10</f>
        <v>128727.72</v>
      </c>
      <c r="AD9" s="58">
        <f t="shared" si="8"/>
        <v>144735.23000000001</v>
      </c>
      <c r="AE9" s="58">
        <f t="shared" si="8"/>
        <v>136365.85</v>
      </c>
      <c r="AF9" s="58">
        <f t="shared" si="8"/>
        <v>146671.45199999999</v>
      </c>
      <c r="AG9" s="58">
        <f t="shared" si="8"/>
        <v>144844.408</v>
      </c>
      <c r="AH9" s="58">
        <f t="shared" si="8"/>
        <v>159562.24000000002</v>
      </c>
      <c r="AI9" s="58">
        <f t="shared" si="8"/>
        <v>150157.44</v>
      </c>
      <c r="AJ9" s="58">
        <f t="shared" si="8"/>
        <v>154909.573</v>
      </c>
      <c r="AK9" s="58">
        <f t="shared" si="8"/>
        <v>149352.45000000001</v>
      </c>
      <c r="AL9" s="58">
        <f t="shared" si="8"/>
        <v>150574</v>
      </c>
      <c r="AM9" s="58">
        <f t="shared" si="8"/>
        <v>152367.59999999998</v>
      </c>
      <c r="AN9" s="58">
        <f t="shared" si="8"/>
        <v>148905.29999999999</v>
      </c>
      <c r="AO9" s="58">
        <f>SUM(AC9:AN9)</f>
        <v>1767173.263</v>
      </c>
    </row>
    <row r="10" spans="1:41" s="20" customFormat="1" ht="15" customHeight="1" x14ac:dyDescent="0.35">
      <c r="A10" s="33"/>
      <c r="B10" s="20" t="s">
        <v>3</v>
      </c>
      <c r="C10" s="34">
        <v>0.34799999999999998</v>
      </c>
      <c r="D10" s="34">
        <v>0.35799999999999998</v>
      </c>
      <c r="E10" s="34">
        <v>0.34499999999999997</v>
      </c>
      <c r="F10" s="35">
        <v>0.34399999999999997</v>
      </c>
      <c r="G10" s="35">
        <v>0.34799999999999998</v>
      </c>
      <c r="H10" s="35">
        <v>0.35</v>
      </c>
      <c r="I10" s="35">
        <v>0.36399999999999999</v>
      </c>
      <c r="J10" s="35">
        <v>0.36499999999999999</v>
      </c>
      <c r="K10" s="35">
        <v>0.371</v>
      </c>
      <c r="L10" s="35">
        <v>0.379</v>
      </c>
      <c r="M10" s="35">
        <v>0.36499999999999999</v>
      </c>
      <c r="N10" s="35">
        <v>0.379</v>
      </c>
      <c r="O10" s="35">
        <f>IF(O5=0,0,O9/O5)</f>
        <v>0.36035015746136595</v>
      </c>
      <c r="P10" s="35">
        <v>0.38100000000000001</v>
      </c>
      <c r="Q10" s="35">
        <v>0.376</v>
      </c>
      <c r="R10" s="35">
        <v>0.374</v>
      </c>
      <c r="S10" s="35">
        <v>0.372</v>
      </c>
      <c r="T10" s="35">
        <v>0.376</v>
      </c>
      <c r="U10" s="35">
        <v>0.39200000000000002</v>
      </c>
      <c r="V10" s="35">
        <v>0.374</v>
      </c>
      <c r="W10" s="35">
        <v>0.379</v>
      </c>
      <c r="X10" s="35">
        <v>0.38200000000000001</v>
      </c>
      <c r="Y10" s="35">
        <v>0.38500000000000001</v>
      </c>
      <c r="Z10" s="35">
        <v>0.38900000000000001</v>
      </c>
      <c r="AA10" s="35">
        <v>0.38600000000000001</v>
      </c>
      <c r="AB10" s="35">
        <f>IF(AB5=0,0,AB9/AB5)</f>
        <v>0.38048705380028225</v>
      </c>
      <c r="AC10" s="35">
        <v>0.39600000000000002</v>
      </c>
      <c r="AD10" s="35">
        <v>0.38900000000000001</v>
      </c>
      <c r="AE10" s="35">
        <v>0.39500000000000002</v>
      </c>
      <c r="AF10" s="35">
        <v>0.38700000000000001</v>
      </c>
      <c r="AG10" s="35">
        <v>0.40100000000000002</v>
      </c>
      <c r="AH10" s="35">
        <v>0.39700000000000002</v>
      </c>
      <c r="AI10" s="35">
        <v>0.39300000000000002</v>
      </c>
      <c r="AJ10" s="35">
        <v>0.40300000000000002</v>
      </c>
      <c r="AK10" s="35">
        <v>0.40100000000000002</v>
      </c>
      <c r="AL10" s="35">
        <v>0.39500000000000002</v>
      </c>
      <c r="AM10" s="35">
        <v>0.40799999999999997</v>
      </c>
      <c r="AN10" s="35">
        <v>0.41099999999999998</v>
      </c>
      <c r="AO10" s="35">
        <f>IF(AO5=0,0,AO9/AO5)</f>
        <v>0.39797927940608485</v>
      </c>
    </row>
    <row r="11" spans="1:41" ht="15" customHeight="1" x14ac:dyDescent="0.3">
      <c r="C11" s="4"/>
      <c r="D11" s="4"/>
      <c r="E11" s="4"/>
      <c r="F11" s="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15" customHeight="1" x14ac:dyDescent="0.35">
      <c r="B12" s="43" t="s">
        <v>64</v>
      </c>
      <c r="C12" s="4"/>
      <c r="D12" s="4"/>
      <c r="E12" s="4"/>
      <c r="F12" s="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29" customFormat="1" ht="15" customHeight="1" x14ac:dyDescent="0.35">
      <c r="A13" s="36"/>
      <c r="B13" s="26" t="s">
        <v>4</v>
      </c>
      <c r="C13" s="4">
        <v>1950</v>
      </c>
      <c r="D13" s="4">
        <v>1950</v>
      </c>
      <c r="E13" s="4">
        <v>1950</v>
      </c>
      <c r="F13" s="4">
        <v>1950</v>
      </c>
      <c r="G13" s="4">
        <v>1950</v>
      </c>
      <c r="H13" s="4">
        <v>1950</v>
      </c>
      <c r="I13" s="4">
        <v>1950</v>
      </c>
      <c r="J13" s="4">
        <v>1950</v>
      </c>
      <c r="K13" s="4">
        <v>1950</v>
      </c>
      <c r="L13" s="4">
        <v>1950</v>
      </c>
      <c r="M13" s="4">
        <v>1950</v>
      </c>
      <c r="N13" s="4">
        <v>1950</v>
      </c>
      <c r="O13" s="58">
        <f t="shared" ref="O13:O35" si="9">SUM(C13:N13)</f>
        <v>23400</v>
      </c>
      <c r="P13" s="4">
        <v>2100</v>
      </c>
      <c r="Q13" s="4">
        <v>2100</v>
      </c>
      <c r="R13" s="4">
        <v>2100</v>
      </c>
      <c r="S13" s="4">
        <v>2100</v>
      </c>
      <c r="T13" s="4">
        <v>2100</v>
      </c>
      <c r="U13" s="4">
        <v>2100</v>
      </c>
      <c r="V13" s="4">
        <v>2100</v>
      </c>
      <c r="W13" s="4">
        <v>2100</v>
      </c>
      <c r="X13" s="4">
        <v>2100</v>
      </c>
      <c r="Y13" s="4">
        <v>2100</v>
      </c>
      <c r="Z13" s="4">
        <v>2100</v>
      </c>
      <c r="AA13" s="4">
        <v>2100</v>
      </c>
      <c r="AB13" s="58">
        <f t="shared" ref="AB13:AB35" si="10">SUM(P13:AA13)</f>
        <v>25200</v>
      </c>
      <c r="AC13" s="4">
        <v>2450</v>
      </c>
      <c r="AD13" s="4">
        <v>2450</v>
      </c>
      <c r="AE13" s="4">
        <v>2450</v>
      </c>
      <c r="AF13" s="4">
        <v>2450</v>
      </c>
      <c r="AG13" s="4">
        <v>2450</v>
      </c>
      <c r="AH13" s="4">
        <v>2450</v>
      </c>
      <c r="AI13" s="4">
        <v>2450</v>
      </c>
      <c r="AJ13" s="4">
        <v>2450</v>
      </c>
      <c r="AK13" s="4">
        <v>2450</v>
      </c>
      <c r="AL13" s="4">
        <v>2450</v>
      </c>
      <c r="AM13" s="4">
        <v>2450</v>
      </c>
      <c r="AN13" s="4">
        <v>2450</v>
      </c>
      <c r="AO13" s="58">
        <f t="shared" ref="AO13:AO35" si="11">SUM(AC13:AN13)</f>
        <v>29400</v>
      </c>
    </row>
    <row r="14" spans="1:41" s="29" customFormat="1" ht="15" customHeight="1" x14ac:dyDescent="0.35">
      <c r="A14" s="36"/>
      <c r="B14" s="26" t="s">
        <v>17</v>
      </c>
      <c r="C14" s="4">
        <v>3500</v>
      </c>
      <c r="D14" s="4">
        <v>4200</v>
      </c>
      <c r="E14" s="4">
        <v>9000</v>
      </c>
      <c r="F14" s="4">
        <v>7320</v>
      </c>
      <c r="G14" s="4">
        <v>3298</v>
      </c>
      <c r="H14" s="4">
        <v>18700</v>
      </c>
      <c r="I14" s="4">
        <v>3250</v>
      </c>
      <c r="J14" s="4">
        <v>3250</v>
      </c>
      <c r="K14" s="4">
        <v>37000</v>
      </c>
      <c r="L14" s="4">
        <v>12000</v>
      </c>
      <c r="M14" s="4">
        <v>3200</v>
      </c>
      <c r="N14" s="4">
        <v>3980</v>
      </c>
      <c r="O14" s="58">
        <f t="shared" si="9"/>
        <v>108698</v>
      </c>
      <c r="P14" s="4">
        <v>2900</v>
      </c>
      <c r="Q14" s="4">
        <v>17654</v>
      </c>
      <c r="R14" s="4">
        <v>3987</v>
      </c>
      <c r="S14" s="4">
        <v>4200</v>
      </c>
      <c r="T14" s="4">
        <v>4100</v>
      </c>
      <c r="U14" s="4">
        <v>34500</v>
      </c>
      <c r="V14" s="4">
        <v>10800</v>
      </c>
      <c r="W14" s="4">
        <v>13200</v>
      </c>
      <c r="X14" s="4">
        <v>7203</v>
      </c>
      <c r="Y14" s="4">
        <v>38652</v>
      </c>
      <c r="Z14" s="4">
        <v>3260</v>
      </c>
      <c r="AA14" s="4">
        <v>4230</v>
      </c>
      <c r="AB14" s="58">
        <f t="shared" si="10"/>
        <v>144686</v>
      </c>
      <c r="AC14" s="4">
        <v>4380</v>
      </c>
      <c r="AD14" s="4">
        <v>42300</v>
      </c>
      <c r="AE14" s="4">
        <v>4200</v>
      </c>
      <c r="AF14" s="4">
        <v>4400</v>
      </c>
      <c r="AG14" s="4">
        <v>57400</v>
      </c>
      <c r="AH14" s="4">
        <v>7630</v>
      </c>
      <c r="AI14" s="4">
        <v>9760</v>
      </c>
      <c r="AJ14" s="4">
        <v>7300</v>
      </c>
      <c r="AK14" s="4">
        <v>31200</v>
      </c>
      <c r="AL14" s="4">
        <v>32980</v>
      </c>
      <c r="AM14" s="4">
        <v>10230</v>
      </c>
      <c r="AN14" s="4">
        <v>13400</v>
      </c>
      <c r="AO14" s="58">
        <f t="shared" si="11"/>
        <v>225180</v>
      </c>
    </row>
    <row r="15" spans="1:41" s="29" customFormat="1" ht="15" customHeight="1" x14ac:dyDescent="0.35">
      <c r="A15" s="36"/>
      <c r="B15" s="26" t="s">
        <v>5</v>
      </c>
      <c r="C15" s="4">
        <v>180</v>
      </c>
      <c r="D15" s="4">
        <v>180</v>
      </c>
      <c r="E15" s="4">
        <v>180</v>
      </c>
      <c r="F15" s="4">
        <v>180</v>
      </c>
      <c r="G15" s="4">
        <v>180</v>
      </c>
      <c r="H15" s="4">
        <v>180</v>
      </c>
      <c r="I15" s="4">
        <v>180</v>
      </c>
      <c r="J15" s="4">
        <v>180</v>
      </c>
      <c r="K15" s="4">
        <v>180</v>
      </c>
      <c r="L15" s="4">
        <v>180</v>
      </c>
      <c r="M15" s="4">
        <v>180</v>
      </c>
      <c r="N15" s="4">
        <v>180</v>
      </c>
      <c r="O15" s="58">
        <f t="shared" si="9"/>
        <v>2160</v>
      </c>
      <c r="P15" s="4">
        <v>210</v>
      </c>
      <c r="Q15" s="4">
        <v>210</v>
      </c>
      <c r="R15" s="4">
        <v>210</v>
      </c>
      <c r="S15" s="4">
        <v>210</v>
      </c>
      <c r="T15" s="4">
        <v>210</v>
      </c>
      <c r="U15" s="4">
        <v>210</v>
      </c>
      <c r="V15" s="4">
        <v>210</v>
      </c>
      <c r="W15" s="4">
        <v>210</v>
      </c>
      <c r="X15" s="4">
        <v>210</v>
      </c>
      <c r="Y15" s="4">
        <v>210</v>
      </c>
      <c r="Z15" s="4">
        <v>210</v>
      </c>
      <c r="AA15" s="4">
        <v>210</v>
      </c>
      <c r="AB15" s="58">
        <f t="shared" si="10"/>
        <v>2520</v>
      </c>
      <c r="AC15" s="4">
        <v>250</v>
      </c>
      <c r="AD15" s="4">
        <v>250</v>
      </c>
      <c r="AE15" s="4">
        <v>250</v>
      </c>
      <c r="AF15" s="4">
        <v>250</v>
      </c>
      <c r="AG15" s="4">
        <v>250</v>
      </c>
      <c r="AH15" s="4">
        <v>250</v>
      </c>
      <c r="AI15" s="4">
        <v>250</v>
      </c>
      <c r="AJ15" s="4">
        <v>250</v>
      </c>
      <c r="AK15" s="4">
        <v>250</v>
      </c>
      <c r="AL15" s="4">
        <v>250</v>
      </c>
      <c r="AM15" s="4">
        <v>250</v>
      </c>
      <c r="AN15" s="4">
        <v>250</v>
      </c>
      <c r="AO15" s="58">
        <f t="shared" si="11"/>
        <v>3000</v>
      </c>
    </row>
    <row r="16" spans="1:41" s="29" customFormat="1" ht="15" customHeight="1" x14ac:dyDescent="0.35">
      <c r="A16" s="36"/>
      <c r="B16" s="26" t="s">
        <v>18</v>
      </c>
      <c r="C16" s="4">
        <v>0</v>
      </c>
      <c r="D16" s="4">
        <v>0</v>
      </c>
      <c r="E16" s="4">
        <v>1500</v>
      </c>
      <c r="F16" s="4">
        <v>0</v>
      </c>
      <c r="G16" s="4">
        <v>0</v>
      </c>
      <c r="H16" s="4">
        <v>0</v>
      </c>
      <c r="I16" s="4">
        <v>0</v>
      </c>
      <c r="J16" s="4">
        <v>3100</v>
      </c>
      <c r="K16" s="4">
        <v>0</v>
      </c>
      <c r="L16" s="4">
        <v>0</v>
      </c>
      <c r="M16" s="4">
        <v>3450</v>
      </c>
      <c r="N16" s="4">
        <v>0</v>
      </c>
      <c r="O16" s="58">
        <f t="shared" si="9"/>
        <v>8050</v>
      </c>
      <c r="P16" s="4">
        <v>0</v>
      </c>
      <c r="Q16" s="4">
        <v>0</v>
      </c>
      <c r="R16" s="4">
        <v>0</v>
      </c>
      <c r="S16" s="4">
        <v>1890</v>
      </c>
      <c r="T16" s="4">
        <v>0</v>
      </c>
      <c r="U16" s="4">
        <v>0</v>
      </c>
      <c r="V16" s="4">
        <v>0</v>
      </c>
      <c r="W16" s="4">
        <v>3540</v>
      </c>
      <c r="X16" s="4">
        <v>0</v>
      </c>
      <c r="Y16" s="4">
        <v>0</v>
      </c>
      <c r="Z16" s="4">
        <v>0</v>
      </c>
      <c r="AA16" s="4">
        <v>0</v>
      </c>
      <c r="AB16" s="58">
        <f t="shared" si="10"/>
        <v>5430</v>
      </c>
      <c r="AC16" s="4">
        <v>0</v>
      </c>
      <c r="AD16" s="4">
        <v>0</v>
      </c>
      <c r="AE16" s="4">
        <v>0</v>
      </c>
      <c r="AF16" s="4">
        <v>4200</v>
      </c>
      <c r="AG16" s="4">
        <v>0</v>
      </c>
      <c r="AH16" s="4">
        <v>0</v>
      </c>
      <c r="AI16" s="4">
        <v>0</v>
      </c>
      <c r="AJ16" s="4">
        <v>0</v>
      </c>
      <c r="AK16" s="4">
        <v>3890</v>
      </c>
      <c r="AL16" s="4">
        <v>2080</v>
      </c>
      <c r="AM16" s="4">
        <v>0</v>
      </c>
      <c r="AN16" s="4">
        <v>0</v>
      </c>
      <c r="AO16" s="58">
        <f t="shared" si="11"/>
        <v>10170</v>
      </c>
    </row>
    <row r="17" spans="1:41" s="29" customFormat="1" ht="15" customHeight="1" x14ac:dyDescent="0.35">
      <c r="A17" s="36"/>
      <c r="B17" s="26" t="s">
        <v>6</v>
      </c>
      <c r="C17" s="4">
        <v>0</v>
      </c>
      <c r="D17" s="4">
        <v>0</v>
      </c>
      <c r="E17" s="4">
        <v>0</v>
      </c>
      <c r="F17" s="4">
        <v>5200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3860</v>
      </c>
      <c r="M17" s="4">
        <v>0</v>
      </c>
      <c r="N17" s="4">
        <v>0</v>
      </c>
      <c r="O17" s="58">
        <f t="shared" si="9"/>
        <v>9060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4180</v>
      </c>
      <c r="Z17" s="4">
        <v>0</v>
      </c>
      <c r="AA17" s="4">
        <v>0</v>
      </c>
      <c r="AB17" s="58">
        <f t="shared" si="10"/>
        <v>4180</v>
      </c>
      <c r="AC17" s="4">
        <v>0</v>
      </c>
      <c r="AD17" s="4">
        <v>0</v>
      </c>
      <c r="AE17" s="4">
        <v>7620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58">
        <f t="shared" si="11"/>
        <v>7620</v>
      </c>
    </row>
    <row r="18" spans="1:41" s="29" customFormat="1" ht="15" customHeight="1" x14ac:dyDescent="0.35">
      <c r="A18" s="36"/>
      <c r="B18" s="26" t="s">
        <v>24</v>
      </c>
      <c r="C18" s="4">
        <v>80</v>
      </c>
      <c r="D18" s="4">
        <v>0</v>
      </c>
      <c r="E18" s="4">
        <v>0</v>
      </c>
      <c r="F18" s="4">
        <v>0</v>
      </c>
      <c r="G18" s="4">
        <v>1239</v>
      </c>
      <c r="H18" s="4">
        <v>89</v>
      </c>
      <c r="I18" s="4">
        <v>120</v>
      </c>
      <c r="J18" s="4">
        <v>0</v>
      </c>
      <c r="K18" s="4">
        <v>109</v>
      </c>
      <c r="L18" s="4">
        <v>900</v>
      </c>
      <c r="M18" s="4">
        <v>0</v>
      </c>
      <c r="N18" s="4">
        <v>0</v>
      </c>
      <c r="O18" s="58">
        <f t="shared" si="9"/>
        <v>2537</v>
      </c>
      <c r="P18" s="4">
        <v>890</v>
      </c>
      <c r="Q18" s="4">
        <v>0</v>
      </c>
      <c r="R18" s="4">
        <v>87</v>
      </c>
      <c r="S18" s="4">
        <v>0</v>
      </c>
      <c r="T18" s="4">
        <v>0</v>
      </c>
      <c r="U18" s="4">
        <v>2100</v>
      </c>
      <c r="V18" s="4">
        <v>0</v>
      </c>
      <c r="W18" s="4">
        <v>0</v>
      </c>
      <c r="X18" s="4">
        <v>3289</v>
      </c>
      <c r="Y18" s="4">
        <v>0</v>
      </c>
      <c r="Z18" s="4">
        <v>0</v>
      </c>
      <c r="AA18" s="4">
        <v>98</v>
      </c>
      <c r="AB18" s="58">
        <f t="shared" si="10"/>
        <v>6464</v>
      </c>
      <c r="AC18" s="4">
        <v>0</v>
      </c>
      <c r="AD18" s="4">
        <v>0</v>
      </c>
      <c r="AE18" s="4">
        <v>5100</v>
      </c>
      <c r="AF18" s="4">
        <v>0</v>
      </c>
      <c r="AG18" s="4">
        <v>0</v>
      </c>
      <c r="AH18" s="4">
        <v>76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58">
        <f t="shared" si="11"/>
        <v>5176</v>
      </c>
    </row>
    <row r="19" spans="1:41" s="29" customFormat="1" ht="15" customHeight="1" x14ac:dyDescent="0.35">
      <c r="A19" s="36"/>
      <c r="B19" s="26" t="s">
        <v>8</v>
      </c>
      <c r="C19" s="4">
        <v>1390</v>
      </c>
      <c r="D19" s="4">
        <v>1390</v>
      </c>
      <c r="E19" s="4">
        <v>1390</v>
      </c>
      <c r="F19" s="4">
        <v>1390</v>
      </c>
      <c r="G19" s="4">
        <v>1390</v>
      </c>
      <c r="H19" s="4">
        <v>1420</v>
      </c>
      <c r="I19" s="4">
        <v>1420</v>
      </c>
      <c r="J19" s="4">
        <v>1420</v>
      </c>
      <c r="K19" s="4">
        <v>1420</v>
      </c>
      <c r="L19" s="4">
        <v>1420</v>
      </c>
      <c r="M19" s="4">
        <v>1420</v>
      </c>
      <c r="N19" s="4">
        <v>1420</v>
      </c>
      <c r="O19" s="58">
        <f t="shared" si="9"/>
        <v>16890</v>
      </c>
      <c r="P19" s="4">
        <v>2654</v>
      </c>
      <c r="Q19" s="4">
        <v>2654</v>
      </c>
      <c r="R19" s="4">
        <v>2654</v>
      </c>
      <c r="S19" s="4">
        <v>2654</v>
      </c>
      <c r="T19" s="4">
        <v>2654</v>
      </c>
      <c r="U19" s="4">
        <v>2654</v>
      </c>
      <c r="V19" s="4">
        <v>2654</v>
      </c>
      <c r="W19" s="4">
        <v>2971</v>
      </c>
      <c r="X19" s="4">
        <v>2971</v>
      </c>
      <c r="Y19" s="4">
        <v>2971</v>
      </c>
      <c r="Z19" s="4">
        <v>2971</v>
      </c>
      <c r="AA19" s="4">
        <v>2971</v>
      </c>
      <c r="AB19" s="58">
        <f t="shared" si="10"/>
        <v>33433</v>
      </c>
      <c r="AC19" s="4">
        <v>4050</v>
      </c>
      <c r="AD19" s="4">
        <v>4050</v>
      </c>
      <c r="AE19" s="4">
        <v>4050</v>
      </c>
      <c r="AF19" s="4">
        <v>4050</v>
      </c>
      <c r="AG19" s="4">
        <v>4050</v>
      </c>
      <c r="AH19" s="4">
        <v>4050</v>
      </c>
      <c r="AI19" s="4">
        <v>4050</v>
      </c>
      <c r="AJ19" s="4">
        <v>4891</v>
      </c>
      <c r="AK19" s="4">
        <v>4891</v>
      </c>
      <c r="AL19" s="4">
        <v>4891</v>
      </c>
      <c r="AM19" s="4">
        <v>4891</v>
      </c>
      <c r="AN19" s="4">
        <v>4891</v>
      </c>
      <c r="AO19" s="58">
        <f t="shared" si="11"/>
        <v>52805</v>
      </c>
    </row>
    <row r="20" spans="1:41" s="29" customFormat="1" ht="15" customHeight="1" x14ac:dyDescent="0.35">
      <c r="A20" s="36"/>
      <c r="B20" s="26" t="s">
        <v>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13420</v>
      </c>
      <c r="K20" s="4">
        <v>0</v>
      </c>
      <c r="L20" s="4">
        <v>0</v>
      </c>
      <c r="M20" s="4">
        <v>0</v>
      </c>
      <c r="N20" s="4">
        <v>0</v>
      </c>
      <c r="O20" s="58">
        <f t="shared" si="9"/>
        <v>13420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23982</v>
      </c>
      <c r="X20" s="4">
        <v>0</v>
      </c>
      <c r="Y20" s="4">
        <v>800</v>
      </c>
      <c r="Z20" s="4">
        <v>0</v>
      </c>
      <c r="AA20" s="4">
        <v>0</v>
      </c>
      <c r="AB20" s="58">
        <f t="shared" si="10"/>
        <v>24782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23420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58">
        <f t="shared" si="11"/>
        <v>23420</v>
      </c>
    </row>
    <row r="21" spans="1:41" s="29" customFormat="1" ht="15" customHeight="1" x14ac:dyDescent="0.35">
      <c r="A21" s="36"/>
      <c r="B21" s="26" t="s">
        <v>22</v>
      </c>
      <c r="C21" s="4">
        <v>0</v>
      </c>
      <c r="D21" s="4">
        <v>0</v>
      </c>
      <c r="E21" s="4">
        <v>900</v>
      </c>
      <c r="F21" s="4">
        <v>0</v>
      </c>
      <c r="G21" s="4">
        <v>13500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58">
        <f t="shared" si="9"/>
        <v>14400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23000</v>
      </c>
      <c r="W21" s="4">
        <v>0</v>
      </c>
      <c r="X21" s="4">
        <v>0</v>
      </c>
      <c r="Y21" s="4">
        <v>12000</v>
      </c>
      <c r="Z21" s="4">
        <v>0</v>
      </c>
      <c r="AA21" s="4">
        <v>0</v>
      </c>
      <c r="AB21" s="58">
        <f t="shared" si="10"/>
        <v>35000</v>
      </c>
      <c r="AC21" s="4">
        <v>0</v>
      </c>
      <c r="AD21" s="4">
        <v>0</v>
      </c>
      <c r="AE21" s="4">
        <v>0</v>
      </c>
      <c r="AF21" s="4">
        <v>0</v>
      </c>
      <c r="AG21" s="4">
        <v>1200</v>
      </c>
      <c r="AH21" s="4">
        <v>28900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58">
        <f t="shared" si="11"/>
        <v>30100</v>
      </c>
    </row>
    <row r="22" spans="1:41" s="29" customFormat="1" ht="15" customHeight="1" x14ac:dyDescent="0.35">
      <c r="A22" s="36"/>
      <c r="B22" s="26" t="s">
        <v>10</v>
      </c>
      <c r="C22" s="4">
        <v>1950</v>
      </c>
      <c r="D22" s="4">
        <v>1950</v>
      </c>
      <c r="E22" s="4">
        <v>1950</v>
      </c>
      <c r="F22" s="4">
        <v>1950</v>
      </c>
      <c r="G22" s="4">
        <v>1950</v>
      </c>
      <c r="H22" s="4">
        <v>1950</v>
      </c>
      <c r="I22" s="4">
        <v>2500</v>
      </c>
      <c r="J22" s="4">
        <v>2500</v>
      </c>
      <c r="K22" s="4">
        <v>2500</v>
      </c>
      <c r="L22" s="4">
        <v>2500</v>
      </c>
      <c r="M22" s="4">
        <v>2500</v>
      </c>
      <c r="N22" s="4">
        <v>2500</v>
      </c>
      <c r="O22" s="58">
        <f t="shared" si="9"/>
        <v>26700</v>
      </c>
      <c r="P22" s="4">
        <v>2760</v>
      </c>
      <c r="Q22" s="4">
        <v>2760</v>
      </c>
      <c r="R22" s="4">
        <v>2760</v>
      </c>
      <c r="S22" s="4">
        <v>2760</v>
      </c>
      <c r="T22" s="4">
        <v>2760</v>
      </c>
      <c r="U22" s="4">
        <v>2760</v>
      </c>
      <c r="V22" s="4">
        <v>3070</v>
      </c>
      <c r="W22" s="4">
        <v>3070</v>
      </c>
      <c r="X22" s="4">
        <v>3070</v>
      </c>
      <c r="Y22" s="4">
        <v>3070</v>
      </c>
      <c r="Z22" s="4">
        <v>3070</v>
      </c>
      <c r="AA22" s="4">
        <v>3070</v>
      </c>
      <c r="AB22" s="58">
        <f t="shared" si="10"/>
        <v>34980</v>
      </c>
      <c r="AC22" s="4">
        <v>4060</v>
      </c>
      <c r="AD22" s="4">
        <v>4060</v>
      </c>
      <c r="AE22" s="4">
        <v>4060</v>
      </c>
      <c r="AF22" s="4">
        <v>4060</v>
      </c>
      <c r="AG22" s="4">
        <v>4060</v>
      </c>
      <c r="AH22" s="4">
        <v>4060</v>
      </c>
      <c r="AI22" s="4">
        <v>4060</v>
      </c>
      <c r="AJ22" s="4">
        <v>5980</v>
      </c>
      <c r="AK22" s="4">
        <v>5980</v>
      </c>
      <c r="AL22" s="4">
        <v>5980</v>
      </c>
      <c r="AM22" s="4">
        <v>5980</v>
      </c>
      <c r="AN22" s="4">
        <v>5980</v>
      </c>
      <c r="AO22" s="58">
        <f t="shared" si="11"/>
        <v>58320</v>
      </c>
    </row>
    <row r="23" spans="1:41" s="29" customFormat="1" ht="15" customHeight="1" x14ac:dyDescent="0.35">
      <c r="A23" s="36"/>
      <c r="B23" s="26" t="s">
        <v>25</v>
      </c>
      <c r="C23" s="4">
        <v>0</v>
      </c>
      <c r="D23" s="4">
        <v>0</v>
      </c>
      <c r="E23" s="4">
        <v>0</v>
      </c>
      <c r="F23" s="4">
        <v>63540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58">
        <f t="shared" si="9"/>
        <v>63540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11900</v>
      </c>
      <c r="Z23" s="4">
        <v>0</v>
      </c>
      <c r="AA23" s="4">
        <v>0</v>
      </c>
      <c r="AB23" s="58">
        <f t="shared" si="10"/>
        <v>11900</v>
      </c>
      <c r="AC23" s="4">
        <v>0</v>
      </c>
      <c r="AD23" s="4">
        <v>0</v>
      </c>
      <c r="AE23" s="4">
        <v>0</v>
      </c>
      <c r="AF23" s="4">
        <v>21987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58">
        <f t="shared" si="11"/>
        <v>21987</v>
      </c>
    </row>
    <row r="24" spans="1:41" s="29" customFormat="1" ht="15" customHeight="1" x14ac:dyDescent="0.35">
      <c r="A24" s="36"/>
      <c r="B24" s="26" t="s">
        <v>21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2102</v>
      </c>
      <c r="L24" s="4">
        <v>0</v>
      </c>
      <c r="M24" s="4">
        <v>0</v>
      </c>
      <c r="N24" s="4">
        <v>0</v>
      </c>
      <c r="O24" s="58">
        <f t="shared" si="9"/>
        <v>2102</v>
      </c>
      <c r="P24" s="4">
        <v>0</v>
      </c>
      <c r="Q24" s="4">
        <v>0</v>
      </c>
      <c r="R24" s="4">
        <v>0</v>
      </c>
      <c r="S24" s="4">
        <v>10872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58">
        <f t="shared" si="10"/>
        <v>10872</v>
      </c>
      <c r="AC24" s="4">
        <v>0</v>
      </c>
      <c r="AD24" s="4">
        <v>0</v>
      </c>
      <c r="AE24" s="4">
        <v>0</v>
      </c>
      <c r="AF24" s="4">
        <v>0</v>
      </c>
      <c r="AG24" s="4">
        <v>7862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58">
        <f t="shared" si="11"/>
        <v>7862</v>
      </c>
    </row>
    <row r="25" spans="1:41" s="29" customFormat="1" ht="15" customHeight="1" x14ac:dyDescent="0.35">
      <c r="A25" s="36"/>
      <c r="B25" s="26" t="s">
        <v>20</v>
      </c>
      <c r="C25" s="4">
        <v>0</v>
      </c>
      <c r="D25" s="4">
        <v>0</v>
      </c>
      <c r="E25" s="4">
        <v>0</v>
      </c>
      <c r="F25" s="4">
        <v>1200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58">
        <f t="shared" si="9"/>
        <v>1200</v>
      </c>
      <c r="P25" s="4">
        <v>0</v>
      </c>
      <c r="Q25" s="4">
        <v>0</v>
      </c>
      <c r="R25" s="4">
        <v>0</v>
      </c>
      <c r="S25" s="4">
        <v>1900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58">
        <f t="shared" si="10"/>
        <v>1900</v>
      </c>
      <c r="AC25" s="4">
        <v>0</v>
      </c>
      <c r="AD25" s="4">
        <v>0</v>
      </c>
      <c r="AE25" s="4">
        <v>0</v>
      </c>
      <c r="AF25" s="4">
        <v>2170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58">
        <f t="shared" si="11"/>
        <v>2170</v>
      </c>
    </row>
    <row r="26" spans="1:41" s="29" customFormat="1" ht="15" customHeight="1" x14ac:dyDescent="0.35">
      <c r="A26" s="36"/>
      <c r="B26" s="26" t="s">
        <v>11</v>
      </c>
      <c r="C26" s="4">
        <v>0</v>
      </c>
      <c r="D26" s="4">
        <v>0</v>
      </c>
      <c r="E26" s="4">
        <v>0</v>
      </c>
      <c r="F26" s="4">
        <v>1820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1211</v>
      </c>
      <c r="O26" s="58">
        <f t="shared" si="9"/>
        <v>3031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3420</v>
      </c>
      <c r="V26" s="4">
        <v>0</v>
      </c>
      <c r="W26" s="4">
        <v>0</v>
      </c>
      <c r="X26" s="4">
        <v>0</v>
      </c>
      <c r="Y26" s="4">
        <v>1890</v>
      </c>
      <c r="Z26" s="4">
        <v>0</v>
      </c>
      <c r="AA26" s="4">
        <v>0</v>
      </c>
      <c r="AB26" s="58">
        <f t="shared" si="10"/>
        <v>5310</v>
      </c>
      <c r="AC26" s="4">
        <v>155</v>
      </c>
      <c r="AD26" s="4">
        <v>0</v>
      </c>
      <c r="AE26" s="4">
        <v>211</v>
      </c>
      <c r="AF26" s="4">
        <v>0</v>
      </c>
      <c r="AG26" s="4">
        <v>0</v>
      </c>
      <c r="AH26" s="4">
        <v>3298</v>
      </c>
      <c r="AI26" s="4">
        <v>0</v>
      </c>
      <c r="AJ26" s="4">
        <v>120</v>
      </c>
      <c r="AK26" s="4">
        <v>0</v>
      </c>
      <c r="AL26" s="4">
        <v>3290</v>
      </c>
      <c r="AM26" s="4">
        <v>0</v>
      </c>
      <c r="AN26" s="4">
        <v>0</v>
      </c>
      <c r="AO26" s="58">
        <f t="shared" si="11"/>
        <v>7074</v>
      </c>
    </row>
    <row r="27" spans="1:41" s="29" customFormat="1" ht="15" customHeight="1" x14ac:dyDescent="0.35">
      <c r="A27" s="36"/>
      <c r="B27" s="26" t="s">
        <v>19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28200</v>
      </c>
      <c r="K27" s="4">
        <v>0</v>
      </c>
      <c r="L27" s="4">
        <v>0</v>
      </c>
      <c r="M27" s="4">
        <v>0</v>
      </c>
      <c r="N27" s="4">
        <v>0</v>
      </c>
      <c r="O27" s="58">
        <f t="shared" si="9"/>
        <v>28200</v>
      </c>
      <c r="P27" s="4">
        <v>0</v>
      </c>
      <c r="Q27" s="4">
        <v>7510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58">
        <f t="shared" si="10"/>
        <v>7510</v>
      </c>
      <c r="AC27" s="4">
        <v>0</v>
      </c>
      <c r="AD27" s="4">
        <v>12090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1329</v>
      </c>
      <c r="AL27" s="4">
        <v>0</v>
      </c>
      <c r="AM27" s="4">
        <v>0</v>
      </c>
      <c r="AN27" s="4">
        <v>0</v>
      </c>
      <c r="AO27" s="58">
        <f t="shared" si="11"/>
        <v>13419</v>
      </c>
    </row>
    <row r="28" spans="1:41" s="29" customFormat="1" ht="15" customHeight="1" x14ac:dyDescent="0.35">
      <c r="A28" s="36"/>
      <c r="B28" s="26" t="s">
        <v>12</v>
      </c>
      <c r="C28" s="4">
        <v>9780</v>
      </c>
      <c r="D28" s="4">
        <v>9780</v>
      </c>
      <c r="E28" s="4">
        <v>9780</v>
      </c>
      <c r="F28" s="4">
        <v>9780</v>
      </c>
      <c r="G28" s="4">
        <v>9780</v>
      </c>
      <c r="H28" s="4">
        <v>9780</v>
      </c>
      <c r="I28" s="4">
        <v>9780</v>
      </c>
      <c r="J28" s="4">
        <v>9780</v>
      </c>
      <c r="K28" s="4">
        <v>9780</v>
      </c>
      <c r="L28" s="4">
        <v>9780</v>
      </c>
      <c r="M28" s="4">
        <v>9780</v>
      </c>
      <c r="N28" s="4">
        <v>9780</v>
      </c>
      <c r="O28" s="58">
        <f t="shared" si="9"/>
        <v>117360</v>
      </c>
      <c r="P28" s="4">
        <v>11340</v>
      </c>
      <c r="Q28" s="4">
        <v>11340</v>
      </c>
      <c r="R28" s="4">
        <v>11340</v>
      </c>
      <c r="S28" s="4">
        <v>11340</v>
      </c>
      <c r="T28" s="4">
        <v>11340</v>
      </c>
      <c r="U28" s="4">
        <v>11340</v>
      </c>
      <c r="V28" s="4">
        <v>11340</v>
      </c>
      <c r="W28" s="4">
        <v>11340</v>
      </c>
      <c r="X28" s="4">
        <v>11340</v>
      </c>
      <c r="Y28" s="4">
        <v>11340</v>
      </c>
      <c r="Z28" s="4">
        <v>11340</v>
      </c>
      <c r="AA28" s="4">
        <v>11340</v>
      </c>
      <c r="AB28" s="58">
        <f t="shared" si="10"/>
        <v>136080</v>
      </c>
      <c r="AC28" s="4">
        <v>15250</v>
      </c>
      <c r="AD28" s="4">
        <v>15250</v>
      </c>
      <c r="AE28" s="4">
        <v>15250</v>
      </c>
      <c r="AF28" s="4">
        <v>15250</v>
      </c>
      <c r="AG28" s="4">
        <v>15250</v>
      </c>
      <c r="AH28" s="4">
        <v>15250</v>
      </c>
      <c r="AI28" s="4">
        <v>15250</v>
      </c>
      <c r="AJ28" s="4">
        <v>15250</v>
      </c>
      <c r="AK28" s="4">
        <v>15250</v>
      </c>
      <c r="AL28" s="4">
        <v>15250</v>
      </c>
      <c r="AM28" s="4">
        <v>15250</v>
      </c>
      <c r="AN28" s="4">
        <v>15250</v>
      </c>
      <c r="AO28" s="58">
        <f t="shared" si="11"/>
        <v>183000</v>
      </c>
    </row>
    <row r="29" spans="1:41" s="29" customFormat="1" ht="15" customHeight="1" x14ac:dyDescent="0.35">
      <c r="A29" s="36"/>
      <c r="B29" s="26" t="s">
        <v>23</v>
      </c>
      <c r="C29" s="4">
        <v>0</v>
      </c>
      <c r="D29" s="4">
        <v>0</v>
      </c>
      <c r="E29" s="4">
        <v>800</v>
      </c>
      <c r="F29" s="4">
        <v>0</v>
      </c>
      <c r="G29" s="4">
        <v>0</v>
      </c>
      <c r="H29" s="4">
        <v>710</v>
      </c>
      <c r="I29" s="4">
        <v>0</v>
      </c>
      <c r="J29" s="4">
        <v>3100</v>
      </c>
      <c r="K29" s="4">
        <v>2900</v>
      </c>
      <c r="L29" s="4">
        <v>0</v>
      </c>
      <c r="M29" s="4">
        <v>0</v>
      </c>
      <c r="N29" s="4">
        <v>0</v>
      </c>
      <c r="O29" s="58">
        <f t="shared" si="9"/>
        <v>7510</v>
      </c>
      <c r="P29" s="4">
        <v>0</v>
      </c>
      <c r="Q29" s="4">
        <v>0</v>
      </c>
      <c r="R29" s="4">
        <v>0</v>
      </c>
      <c r="S29" s="4">
        <v>1290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3109</v>
      </c>
      <c r="Z29" s="4">
        <v>0</v>
      </c>
      <c r="AA29" s="4">
        <v>0</v>
      </c>
      <c r="AB29" s="58">
        <f t="shared" si="10"/>
        <v>4399</v>
      </c>
      <c r="AC29" s="4">
        <v>0</v>
      </c>
      <c r="AD29" s="4">
        <v>1900</v>
      </c>
      <c r="AE29" s="4">
        <v>0</v>
      </c>
      <c r="AF29" s="4">
        <v>0</v>
      </c>
      <c r="AG29" s="4">
        <v>0</v>
      </c>
      <c r="AH29" s="4">
        <v>6876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58">
        <f t="shared" si="11"/>
        <v>8776</v>
      </c>
    </row>
    <row r="30" spans="1:41" s="29" customFormat="1" ht="15" customHeight="1" x14ac:dyDescent="0.35">
      <c r="A30" s="36"/>
      <c r="B30" s="26" t="s">
        <v>13</v>
      </c>
      <c r="C30" s="4">
        <v>23050</v>
      </c>
      <c r="D30" s="4">
        <v>23050</v>
      </c>
      <c r="E30" s="4">
        <v>23050</v>
      </c>
      <c r="F30" s="4">
        <v>23050</v>
      </c>
      <c r="G30" s="4">
        <v>23050</v>
      </c>
      <c r="H30" s="4">
        <v>23050</v>
      </c>
      <c r="I30" s="4">
        <v>23050</v>
      </c>
      <c r="J30" s="4">
        <v>23050</v>
      </c>
      <c r="K30" s="4">
        <v>23050</v>
      </c>
      <c r="L30" s="4">
        <v>23050</v>
      </c>
      <c r="M30" s="4">
        <v>23050</v>
      </c>
      <c r="N30" s="4">
        <v>23050</v>
      </c>
      <c r="O30" s="58">
        <f t="shared" si="9"/>
        <v>276600</v>
      </c>
      <c r="P30" s="4">
        <v>32100</v>
      </c>
      <c r="Q30" s="4">
        <v>32100</v>
      </c>
      <c r="R30" s="4">
        <v>32100</v>
      </c>
      <c r="S30" s="4">
        <v>32100</v>
      </c>
      <c r="T30" s="4">
        <v>32100</v>
      </c>
      <c r="U30" s="4">
        <v>32100</v>
      </c>
      <c r="V30" s="4">
        <v>32100</v>
      </c>
      <c r="W30" s="4">
        <v>32100</v>
      </c>
      <c r="X30" s="4">
        <v>32100</v>
      </c>
      <c r="Y30" s="4">
        <v>32100</v>
      </c>
      <c r="Z30" s="4">
        <v>32100</v>
      </c>
      <c r="AA30" s="4">
        <v>32100</v>
      </c>
      <c r="AB30" s="58">
        <f t="shared" si="10"/>
        <v>385200</v>
      </c>
      <c r="AC30" s="4">
        <v>39700</v>
      </c>
      <c r="AD30" s="4">
        <v>39700</v>
      </c>
      <c r="AE30" s="4">
        <v>39700</v>
      </c>
      <c r="AF30" s="4">
        <v>39700</v>
      </c>
      <c r="AG30" s="4">
        <v>39700</v>
      </c>
      <c r="AH30" s="4">
        <v>39700</v>
      </c>
      <c r="AI30" s="4">
        <v>39700</v>
      </c>
      <c r="AJ30" s="4">
        <v>39700</v>
      </c>
      <c r="AK30" s="4">
        <v>39700</v>
      </c>
      <c r="AL30" s="4">
        <v>39700</v>
      </c>
      <c r="AM30" s="4">
        <v>39700</v>
      </c>
      <c r="AN30" s="4">
        <v>39700</v>
      </c>
      <c r="AO30" s="58">
        <f t="shared" si="11"/>
        <v>476400</v>
      </c>
    </row>
    <row r="31" spans="1:41" s="29" customFormat="1" ht="15" customHeight="1" x14ac:dyDescent="0.35">
      <c r="A31" s="36"/>
      <c r="B31" s="26" t="s">
        <v>14</v>
      </c>
      <c r="C31" s="4">
        <v>389</v>
      </c>
      <c r="D31" s="4">
        <v>389</v>
      </c>
      <c r="E31" s="4">
        <v>389</v>
      </c>
      <c r="F31" s="4">
        <v>389</v>
      </c>
      <c r="G31" s="4">
        <v>389</v>
      </c>
      <c r="H31" s="4">
        <v>389</v>
      </c>
      <c r="I31" s="4">
        <v>389</v>
      </c>
      <c r="J31" s="4">
        <v>389</v>
      </c>
      <c r="K31" s="4">
        <v>389</v>
      </c>
      <c r="L31" s="4">
        <v>389</v>
      </c>
      <c r="M31" s="4">
        <v>389</v>
      </c>
      <c r="N31" s="4">
        <v>389</v>
      </c>
      <c r="O31" s="58">
        <f t="shared" si="9"/>
        <v>4668</v>
      </c>
      <c r="P31" s="4">
        <v>402</v>
      </c>
      <c r="Q31" s="4">
        <v>402</v>
      </c>
      <c r="R31" s="4">
        <v>402</v>
      </c>
      <c r="S31" s="4">
        <v>402</v>
      </c>
      <c r="T31" s="4">
        <v>402</v>
      </c>
      <c r="U31" s="4">
        <v>402</v>
      </c>
      <c r="V31" s="4">
        <v>402</v>
      </c>
      <c r="W31" s="4">
        <v>402</v>
      </c>
      <c r="X31" s="4">
        <v>402</v>
      </c>
      <c r="Y31" s="4">
        <v>402</v>
      </c>
      <c r="Z31" s="4">
        <v>402</v>
      </c>
      <c r="AA31" s="4">
        <v>402</v>
      </c>
      <c r="AB31" s="58">
        <f t="shared" si="10"/>
        <v>4824</v>
      </c>
      <c r="AC31" s="4">
        <v>456</v>
      </c>
      <c r="AD31" s="4">
        <v>456</v>
      </c>
      <c r="AE31" s="4">
        <v>456</v>
      </c>
      <c r="AF31" s="4">
        <v>456</v>
      </c>
      <c r="AG31" s="4">
        <v>456</v>
      </c>
      <c r="AH31" s="4">
        <v>456</v>
      </c>
      <c r="AI31" s="4">
        <v>456</v>
      </c>
      <c r="AJ31" s="4">
        <v>456</v>
      </c>
      <c r="AK31" s="4">
        <v>456</v>
      </c>
      <c r="AL31" s="4">
        <v>456</v>
      </c>
      <c r="AM31" s="4">
        <v>456</v>
      </c>
      <c r="AN31" s="4">
        <v>456</v>
      </c>
      <c r="AO31" s="58">
        <f t="shared" si="11"/>
        <v>5472</v>
      </c>
    </row>
    <row r="32" spans="1:41" s="29" customFormat="1" ht="15" customHeight="1" x14ac:dyDescent="0.35">
      <c r="A32" s="36"/>
      <c r="B32" s="26" t="s">
        <v>15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3200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58">
        <f t="shared" si="9"/>
        <v>3200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3570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58">
        <f t="shared" si="10"/>
        <v>3570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4120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58">
        <f t="shared" si="11"/>
        <v>4120</v>
      </c>
    </row>
    <row r="33" spans="1:41" s="29" customFormat="1" ht="15" customHeight="1" x14ac:dyDescent="0.35">
      <c r="A33" s="36"/>
      <c r="B33" s="26" t="s">
        <v>16</v>
      </c>
      <c r="C33" s="4">
        <v>2509</v>
      </c>
      <c r="D33" s="4">
        <v>2652</v>
      </c>
      <c r="E33" s="4">
        <v>2701</v>
      </c>
      <c r="F33" s="4">
        <v>2390</v>
      </c>
      <c r="G33" s="4">
        <v>2457</v>
      </c>
      <c r="H33" s="4">
        <v>2489</v>
      </c>
      <c r="I33" s="4">
        <v>2490</v>
      </c>
      <c r="J33" s="4">
        <v>2432</v>
      </c>
      <c r="K33" s="4">
        <v>2673</v>
      </c>
      <c r="L33" s="4">
        <v>2561</v>
      </c>
      <c r="M33" s="4">
        <v>2543</v>
      </c>
      <c r="N33" s="4">
        <v>2539</v>
      </c>
      <c r="O33" s="58">
        <f t="shared" si="9"/>
        <v>30436</v>
      </c>
      <c r="P33" s="4">
        <v>2900</v>
      </c>
      <c r="Q33" s="4">
        <v>2987</v>
      </c>
      <c r="R33" s="4">
        <v>3478</v>
      </c>
      <c r="S33" s="4">
        <v>3542</v>
      </c>
      <c r="T33" s="4">
        <v>3567</v>
      </c>
      <c r="U33" s="4">
        <v>3541</v>
      </c>
      <c r="V33" s="4">
        <v>3581</v>
      </c>
      <c r="W33" s="4">
        <v>3598</v>
      </c>
      <c r="X33" s="4">
        <v>3672</v>
      </c>
      <c r="Y33" s="4">
        <v>3652</v>
      </c>
      <c r="Z33" s="4">
        <v>3652</v>
      </c>
      <c r="AA33" s="4">
        <v>3678</v>
      </c>
      <c r="AB33" s="58">
        <f t="shared" si="10"/>
        <v>41848</v>
      </c>
      <c r="AC33" s="4">
        <v>3987</v>
      </c>
      <c r="AD33" s="4">
        <v>3645</v>
      </c>
      <c r="AE33" s="4">
        <v>3590</v>
      </c>
      <c r="AF33" s="4">
        <v>3765</v>
      </c>
      <c r="AG33" s="4">
        <v>3710</v>
      </c>
      <c r="AH33" s="4">
        <v>3688</v>
      </c>
      <c r="AI33" s="4">
        <v>3965</v>
      </c>
      <c r="AJ33" s="4">
        <v>3290</v>
      </c>
      <c r="AK33" s="4">
        <v>3871</v>
      </c>
      <c r="AL33" s="4">
        <v>4102</v>
      </c>
      <c r="AM33" s="4">
        <v>4008</v>
      </c>
      <c r="AN33" s="4">
        <v>4209</v>
      </c>
      <c r="AO33" s="58">
        <f t="shared" si="11"/>
        <v>45830</v>
      </c>
    </row>
    <row r="34" spans="1:41" s="29" customFormat="1" ht="15" customHeight="1" x14ac:dyDescent="0.35">
      <c r="A34" s="36"/>
      <c r="B34" s="26" t="s">
        <v>26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11200</v>
      </c>
      <c r="K34" s="4">
        <v>0</v>
      </c>
      <c r="L34" s="4">
        <v>0</v>
      </c>
      <c r="M34" s="4">
        <v>0</v>
      </c>
      <c r="N34" s="4">
        <v>0</v>
      </c>
      <c r="O34" s="58">
        <f t="shared" si="9"/>
        <v>11200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239</v>
      </c>
      <c r="Y34" s="4">
        <v>1987</v>
      </c>
      <c r="Z34" s="4">
        <v>0</v>
      </c>
      <c r="AA34" s="4">
        <v>0</v>
      </c>
      <c r="AB34" s="58">
        <f t="shared" si="10"/>
        <v>2226</v>
      </c>
      <c r="AC34" s="4">
        <v>0</v>
      </c>
      <c r="AD34" s="4">
        <v>0</v>
      </c>
      <c r="AE34" s="4">
        <v>6200</v>
      </c>
      <c r="AF34" s="4">
        <v>865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58">
        <f t="shared" si="11"/>
        <v>7065</v>
      </c>
    </row>
    <row r="35" spans="1:41" s="29" customFormat="1" ht="15" customHeight="1" x14ac:dyDescent="0.35">
      <c r="A35" s="36"/>
      <c r="B35" s="26" t="s">
        <v>7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2536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58">
        <f t="shared" si="9"/>
        <v>2536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863</v>
      </c>
      <c r="X35" s="4">
        <v>0</v>
      </c>
      <c r="Y35" s="4">
        <v>0</v>
      </c>
      <c r="Z35" s="4">
        <v>0</v>
      </c>
      <c r="AA35" s="4">
        <v>0</v>
      </c>
      <c r="AB35" s="58">
        <f t="shared" si="10"/>
        <v>863</v>
      </c>
      <c r="AC35" s="4">
        <v>0</v>
      </c>
      <c r="AD35" s="4">
        <v>0</v>
      </c>
      <c r="AE35" s="4">
        <v>210</v>
      </c>
      <c r="AF35" s="4">
        <v>0</v>
      </c>
      <c r="AG35" s="4">
        <v>539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58">
        <f t="shared" si="11"/>
        <v>749</v>
      </c>
    </row>
    <row r="36" spans="1:41" s="47" customFormat="1" ht="15" customHeight="1" x14ac:dyDescent="0.35">
      <c r="B36" s="43" t="s">
        <v>74</v>
      </c>
      <c r="C36" s="59">
        <f t="shared" ref="C36:AO36" ca="1" si="12">SUM(OFFSET($B$12,1,COLUMN(C12)-2,ROW($B$36)-ROW($B$12)-1,1))</f>
        <v>44778</v>
      </c>
      <c r="D36" s="59">
        <f t="shared" ca="1" si="12"/>
        <v>45541</v>
      </c>
      <c r="E36" s="59">
        <f t="shared" ca="1" si="12"/>
        <v>53590</v>
      </c>
      <c r="F36" s="59">
        <f t="shared" ca="1" si="12"/>
        <v>120159</v>
      </c>
      <c r="G36" s="59">
        <f t="shared" ca="1" si="12"/>
        <v>59183</v>
      </c>
      <c r="H36" s="59">
        <f t="shared" ca="1" si="12"/>
        <v>63907</v>
      </c>
      <c r="I36" s="59">
        <f t="shared" ca="1" si="12"/>
        <v>47665</v>
      </c>
      <c r="J36" s="59">
        <f t="shared" ca="1" si="12"/>
        <v>103971</v>
      </c>
      <c r="K36" s="59">
        <f t="shared" ca="1" si="12"/>
        <v>84053</v>
      </c>
      <c r="L36" s="59">
        <f t="shared" ca="1" si="12"/>
        <v>58590</v>
      </c>
      <c r="M36" s="59">
        <f t="shared" ca="1" si="12"/>
        <v>48462</v>
      </c>
      <c r="N36" s="59">
        <f t="shared" ca="1" si="12"/>
        <v>46999</v>
      </c>
      <c r="O36" s="59">
        <f t="shared" ca="1" si="12"/>
        <v>776898</v>
      </c>
      <c r="P36" s="59">
        <f t="shared" ca="1" si="12"/>
        <v>58256</v>
      </c>
      <c r="Q36" s="59">
        <f t="shared" ca="1" si="12"/>
        <v>79717</v>
      </c>
      <c r="R36" s="59">
        <f t="shared" ca="1" si="12"/>
        <v>59118</v>
      </c>
      <c r="S36" s="59">
        <f t="shared" ca="1" si="12"/>
        <v>75260</v>
      </c>
      <c r="T36" s="59">
        <f t="shared" ca="1" si="12"/>
        <v>59233</v>
      </c>
      <c r="U36" s="59">
        <f t="shared" ca="1" si="12"/>
        <v>98697</v>
      </c>
      <c r="V36" s="59">
        <f t="shared" ca="1" si="12"/>
        <v>89257</v>
      </c>
      <c r="W36" s="59">
        <f t="shared" ca="1" si="12"/>
        <v>97376</v>
      </c>
      <c r="X36" s="59">
        <f t="shared" ca="1" si="12"/>
        <v>66596</v>
      </c>
      <c r="Y36" s="59">
        <f t="shared" ca="1" si="12"/>
        <v>130363</v>
      </c>
      <c r="Z36" s="59">
        <f t="shared" ca="1" si="12"/>
        <v>59105</v>
      </c>
      <c r="AA36" s="59">
        <f t="shared" ca="1" si="12"/>
        <v>60199</v>
      </c>
      <c r="AB36" s="59">
        <f t="shared" ca="1" si="12"/>
        <v>933177</v>
      </c>
      <c r="AC36" s="59">
        <f t="shared" ca="1" si="12"/>
        <v>74738</v>
      </c>
      <c r="AD36" s="59">
        <f t="shared" ca="1" si="12"/>
        <v>126151</v>
      </c>
      <c r="AE36" s="59">
        <f t="shared" ca="1" si="12"/>
        <v>93347</v>
      </c>
      <c r="AF36" s="59">
        <f t="shared" ca="1" si="12"/>
        <v>103603</v>
      </c>
      <c r="AG36" s="59">
        <f t="shared" ca="1" si="12"/>
        <v>136927</v>
      </c>
      <c r="AH36" s="59">
        <f t="shared" ca="1" si="12"/>
        <v>120804</v>
      </c>
      <c r="AI36" s="59">
        <f t="shared" ca="1" si="12"/>
        <v>103361</v>
      </c>
      <c r="AJ36" s="59">
        <f t="shared" ca="1" si="12"/>
        <v>79687</v>
      </c>
      <c r="AK36" s="59">
        <f t="shared" ca="1" si="12"/>
        <v>109267</v>
      </c>
      <c r="AL36" s="59">
        <f t="shared" ca="1" si="12"/>
        <v>111429</v>
      </c>
      <c r="AM36" s="59">
        <f t="shared" ca="1" si="12"/>
        <v>83215</v>
      </c>
      <c r="AN36" s="59">
        <f t="shared" ca="1" si="12"/>
        <v>86586</v>
      </c>
      <c r="AO36" s="59">
        <f t="shared" ca="1" si="12"/>
        <v>1229115</v>
      </c>
    </row>
    <row r="37" spans="1:41" ht="15" customHeight="1" x14ac:dyDescent="0.3">
      <c r="C37" s="4"/>
      <c r="D37" s="4"/>
      <c r="E37" s="4"/>
      <c r="F37" s="4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s="29" customFormat="1" ht="15" customHeight="1" x14ac:dyDescent="0.35">
      <c r="A38" s="36"/>
      <c r="B38" s="26" t="s">
        <v>80</v>
      </c>
      <c r="C38" s="4">
        <v>13000</v>
      </c>
      <c r="D38" s="4">
        <v>13000</v>
      </c>
      <c r="E38" s="4">
        <v>14100</v>
      </c>
      <c r="F38" s="4">
        <v>14100</v>
      </c>
      <c r="G38" s="4">
        <v>14100</v>
      </c>
      <c r="H38" s="4">
        <v>15400</v>
      </c>
      <c r="I38" s="4">
        <v>15400</v>
      </c>
      <c r="J38" s="4">
        <v>15400</v>
      </c>
      <c r="K38" s="4">
        <v>15400</v>
      </c>
      <c r="L38" s="4">
        <v>15400</v>
      </c>
      <c r="M38" s="4">
        <v>15400</v>
      </c>
      <c r="N38" s="4">
        <v>15400</v>
      </c>
      <c r="O38" s="58">
        <f>SUM(C38:N38)</f>
        <v>176100</v>
      </c>
      <c r="P38" s="4">
        <v>13700</v>
      </c>
      <c r="Q38" s="4">
        <v>13700</v>
      </c>
      <c r="R38" s="4">
        <v>13700</v>
      </c>
      <c r="S38" s="4">
        <v>13700</v>
      </c>
      <c r="T38" s="4">
        <v>13700</v>
      </c>
      <c r="U38" s="4">
        <v>13700</v>
      </c>
      <c r="V38" s="4">
        <v>13700</v>
      </c>
      <c r="W38" s="4">
        <v>14200</v>
      </c>
      <c r="X38" s="4">
        <v>14200</v>
      </c>
      <c r="Y38" s="4">
        <v>14200</v>
      </c>
      <c r="Z38" s="4">
        <v>14200</v>
      </c>
      <c r="AA38" s="4">
        <v>14200</v>
      </c>
      <c r="AB38" s="58">
        <f>SUM(P38:AA38)</f>
        <v>166900</v>
      </c>
      <c r="AC38" s="4">
        <v>11400</v>
      </c>
      <c r="AD38" s="4">
        <v>12800</v>
      </c>
      <c r="AE38" s="4">
        <v>12800</v>
      </c>
      <c r="AF38" s="4">
        <v>12800</v>
      </c>
      <c r="AG38" s="4">
        <v>12800</v>
      </c>
      <c r="AH38" s="4">
        <v>12800</v>
      </c>
      <c r="AI38" s="4">
        <v>12800</v>
      </c>
      <c r="AJ38" s="4">
        <v>12800</v>
      </c>
      <c r="AK38" s="4">
        <v>12800</v>
      </c>
      <c r="AL38" s="4">
        <v>14300</v>
      </c>
      <c r="AM38" s="4">
        <v>14300</v>
      </c>
      <c r="AN38" s="4">
        <v>14300</v>
      </c>
      <c r="AO38" s="58">
        <f>SUM(AC38:AN38)</f>
        <v>156700</v>
      </c>
    </row>
    <row r="39" spans="1:41" ht="15" customHeight="1" x14ac:dyDescent="0.3">
      <c r="C39" s="4"/>
      <c r="D39" s="4"/>
      <c r="E39" s="4"/>
      <c r="F39" s="4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s="47" customFormat="1" ht="15" customHeight="1" x14ac:dyDescent="0.35">
      <c r="B40" s="43" t="s">
        <v>82</v>
      </c>
      <c r="C40" s="58">
        <f ca="1">SUM(C9,-C36,-C38)</f>
        <v>46169.599999999991</v>
      </c>
      <c r="D40" s="58">
        <f t="shared" ref="D40:AO40" ca="1" si="13">SUM(D9,-D36,-D38)</f>
        <v>61475.993999999992</v>
      </c>
      <c r="E40" s="58">
        <f t="shared" ca="1" si="13"/>
        <v>42389.149999999994</v>
      </c>
      <c r="F40" s="58">
        <f t="shared" ca="1" si="13"/>
        <v>-23804.040000000008</v>
      </c>
      <c r="G40" s="58">
        <f t="shared" ca="1" si="13"/>
        <v>36560.415999999997</v>
      </c>
      <c r="H40" s="58">
        <f t="shared" ca="1" si="13"/>
        <v>32353.5</v>
      </c>
      <c r="I40" s="58">
        <f t="shared" ca="1" si="13"/>
        <v>61452.119999999995</v>
      </c>
      <c r="J40" s="58">
        <f t="shared" ca="1" si="13"/>
        <v>3659.5500000000029</v>
      </c>
      <c r="K40" s="58">
        <f t="shared" ca="1" si="13"/>
        <v>44127.709999999992</v>
      </c>
      <c r="L40" s="58">
        <f t="shared" ca="1" si="13"/>
        <v>63245.141999999993</v>
      </c>
      <c r="M40" s="58">
        <f t="shared" ca="1" si="13"/>
        <v>69439.285000000003</v>
      </c>
      <c r="N40" s="58">
        <f t="shared" ca="1" si="13"/>
        <v>68393.899999999994</v>
      </c>
      <c r="O40" s="58">
        <f t="shared" ca="1" si="13"/>
        <v>505462.32699999982</v>
      </c>
      <c r="P40" s="58">
        <f t="shared" ca="1" si="13"/>
        <v>50306.900000000009</v>
      </c>
      <c r="Q40" s="58">
        <f t="shared" ca="1" si="13"/>
        <v>26530.008000000002</v>
      </c>
      <c r="R40" s="58">
        <f t="shared" ca="1" si="13"/>
        <v>59618.766000000003</v>
      </c>
      <c r="S40" s="58">
        <f t="shared" ca="1" si="13"/>
        <v>47928.932000000001</v>
      </c>
      <c r="T40" s="58">
        <f t="shared" ca="1" si="13"/>
        <v>63215.847999999998</v>
      </c>
      <c r="U40" s="58">
        <f t="shared" ca="1" si="13"/>
        <v>15269.168000000005</v>
      </c>
      <c r="V40" s="58">
        <f t="shared" ca="1" si="13"/>
        <v>19367.179999999993</v>
      </c>
      <c r="W40" s="58">
        <f t="shared" ca="1" si="13"/>
        <v>18379.309999999998</v>
      </c>
      <c r="X40" s="58">
        <f t="shared" ca="1" si="13"/>
        <v>47430.703999999998</v>
      </c>
      <c r="Y40" s="58">
        <f t="shared" ca="1" si="13"/>
        <v>-2890.6999999999825</v>
      </c>
      <c r="Z40" s="58">
        <f t="shared" ca="1" si="13"/>
        <v>67852.986000000004</v>
      </c>
      <c r="AA40" s="58">
        <f t="shared" ca="1" si="13"/>
        <v>61167.288</v>
      </c>
      <c r="AB40" s="58">
        <f t="shared" ca="1" si="13"/>
        <v>474176.3899999999</v>
      </c>
      <c r="AC40" s="58">
        <f t="shared" ca="1" si="13"/>
        <v>42589.72</v>
      </c>
      <c r="AD40" s="58">
        <f t="shared" ca="1" si="13"/>
        <v>5784.2300000000105</v>
      </c>
      <c r="AE40" s="58">
        <f t="shared" ca="1" si="13"/>
        <v>30218.850000000006</v>
      </c>
      <c r="AF40" s="58">
        <f t="shared" ca="1" si="13"/>
        <v>30268.45199999999</v>
      </c>
      <c r="AG40" s="58">
        <f t="shared" ca="1" si="13"/>
        <v>-4882.5920000000042</v>
      </c>
      <c r="AH40" s="58">
        <f t="shared" ca="1" si="13"/>
        <v>25958.24000000002</v>
      </c>
      <c r="AI40" s="58">
        <f t="shared" ca="1" si="13"/>
        <v>33996.44</v>
      </c>
      <c r="AJ40" s="58">
        <f t="shared" ca="1" si="13"/>
        <v>62422.573000000004</v>
      </c>
      <c r="AK40" s="58">
        <f t="shared" ca="1" si="13"/>
        <v>27285.450000000012</v>
      </c>
      <c r="AL40" s="58">
        <f t="shared" ca="1" si="13"/>
        <v>24845</v>
      </c>
      <c r="AM40" s="58">
        <f t="shared" ca="1" si="13"/>
        <v>54852.599999999977</v>
      </c>
      <c r="AN40" s="58">
        <f t="shared" ca="1" si="13"/>
        <v>48019.299999999988</v>
      </c>
      <c r="AO40" s="58">
        <f t="shared" ca="1" si="13"/>
        <v>381358.26300000004</v>
      </c>
    </row>
    <row r="41" spans="1:41" ht="15" customHeight="1" x14ac:dyDescent="0.3">
      <c r="C41" s="4"/>
      <c r="D41" s="4"/>
      <c r="E41" s="4"/>
      <c r="F41" s="4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s="29" customFormat="1" ht="15" customHeight="1" x14ac:dyDescent="0.35">
      <c r="A42" s="36"/>
      <c r="B42" s="26" t="s">
        <v>50</v>
      </c>
      <c r="C42" s="4">
        <v>9167</v>
      </c>
      <c r="D42" s="4">
        <v>9048</v>
      </c>
      <c r="E42" s="4">
        <v>8929</v>
      </c>
      <c r="F42" s="4">
        <v>8809</v>
      </c>
      <c r="G42" s="4">
        <v>9437</v>
      </c>
      <c r="H42" s="4">
        <v>9305</v>
      </c>
      <c r="I42" s="4">
        <v>9172</v>
      </c>
      <c r="J42" s="4">
        <v>9038</v>
      </c>
      <c r="K42" s="4">
        <v>8902</v>
      </c>
      <c r="L42" s="4">
        <v>8766</v>
      </c>
      <c r="M42" s="4">
        <v>8628</v>
      </c>
      <c r="N42" s="4">
        <v>8489</v>
      </c>
      <c r="O42" s="58">
        <f>SUM(C42:N42)</f>
        <v>107690</v>
      </c>
      <c r="P42" s="4">
        <v>8349</v>
      </c>
      <c r="Q42" s="4">
        <v>8208</v>
      </c>
      <c r="R42" s="4">
        <v>8066</v>
      </c>
      <c r="S42" s="4">
        <v>8423</v>
      </c>
      <c r="T42" s="4">
        <v>8271</v>
      </c>
      <c r="U42" s="4">
        <v>8119</v>
      </c>
      <c r="V42" s="4">
        <v>7965</v>
      </c>
      <c r="W42" s="4">
        <v>7810</v>
      </c>
      <c r="X42" s="4">
        <v>7654</v>
      </c>
      <c r="Y42" s="4">
        <v>7497</v>
      </c>
      <c r="Z42" s="4">
        <v>7338</v>
      </c>
      <c r="AA42" s="4">
        <v>7178</v>
      </c>
      <c r="AB42" s="58">
        <f>SUM(P42:AA42)</f>
        <v>94878</v>
      </c>
      <c r="AC42" s="4">
        <v>7016</v>
      </c>
      <c r="AD42" s="4">
        <v>6853</v>
      </c>
      <c r="AE42" s="4">
        <v>6689</v>
      </c>
      <c r="AF42" s="4">
        <v>6523</v>
      </c>
      <c r="AG42" s="4">
        <v>7023</v>
      </c>
      <c r="AH42" s="4">
        <v>6846</v>
      </c>
      <c r="AI42" s="4">
        <v>6668</v>
      </c>
      <c r="AJ42" s="4">
        <v>6488</v>
      </c>
      <c r="AK42" s="4">
        <v>6306</v>
      </c>
      <c r="AL42" s="4">
        <v>6123</v>
      </c>
      <c r="AM42" s="4">
        <v>6189</v>
      </c>
      <c r="AN42" s="4">
        <v>6000</v>
      </c>
      <c r="AO42" s="58">
        <f>SUM(AC42:AN42)</f>
        <v>78724</v>
      </c>
    </row>
    <row r="43" spans="1:41" s="29" customFormat="1" ht="15" customHeight="1" x14ac:dyDescent="0.35">
      <c r="A43" s="36"/>
      <c r="B43" s="26" t="s">
        <v>43</v>
      </c>
      <c r="C43" s="4">
        <v>10360</v>
      </c>
      <c r="D43" s="4">
        <v>14680</v>
      </c>
      <c r="E43" s="4">
        <v>9370</v>
      </c>
      <c r="F43" s="4">
        <v>0</v>
      </c>
      <c r="G43" s="4">
        <v>0</v>
      </c>
      <c r="H43" s="4">
        <v>4940</v>
      </c>
      <c r="I43" s="4">
        <v>14640</v>
      </c>
      <c r="J43" s="4">
        <v>0</v>
      </c>
      <c r="K43" s="4">
        <v>8350</v>
      </c>
      <c r="L43" s="4">
        <v>15250</v>
      </c>
      <c r="M43" s="4">
        <v>17030</v>
      </c>
      <c r="N43" s="4">
        <v>16770</v>
      </c>
      <c r="O43" s="58">
        <f>SUM(C43:N43)</f>
        <v>111390</v>
      </c>
      <c r="P43" s="4">
        <v>11750</v>
      </c>
      <c r="Q43" s="4">
        <v>5130</v>
      </c>
      <c r="R43" s="4">
        <v>14430</v>
      </c>
      <c r="S43" s="4">
        <v>11060</v>
      </c>
      <c r="T43" s="4">
        <v>15380</v>
      </c>
      <c r="U43" s="4">
        <v>2000</v>
      </c>
      <c r="V43" s="4">
        <v>3190</v>
      </c>
      <c r="W43" s="4">
        <v>2960</v>
      </c>
      <c r="X43" s="4">
        <v>11140</v>
      </c>
      <c r="Y43" s="4">
        <v>0</v>
      </c>
      <c r="Z43" s="4">
        <v>14030</v>
      </c>
      <c r="AA43" s="4">
        <v>15120</v>
      </c>
      <c r="AB43" s="58">
        <f>SUM(P43:AA43)</f>
        <v>106190</v>
      </c>
      <c r="AC43" s="4">
        <v>9960</v>
      </c>
      <c r="AD43" s="4">
        <v>0</v>
      </c>
      <c r="AE43" s="4">
        <v>6290</v>
      </c>
      <c r="AF43" s="4">
        <v>6650</v>
      </c>
      <c r="AG43" s="4">
        <v>0</v>
      </c>
      <c r="AH43" s="4">
        <v>2020</v>
      </c>
      <c r="AI43" s="4">
        <v>7650</v>
      </c>
      <c r="AJ43" s="4">
        <v>15660</v>
      </c>
      <c r="AK43" s="4">
        <v>5870</v>
      </c>
      <c r="AL43" s="4">
        <v>5240</v>
      </c>
      <c r="AM43" s="4">
        <v>13630</v>
      </c>
      <c r="AN43" s="4">
        <v>11770</v>
      </c>
      <c r="AO43" s="58">
        <f>SUM(AC43:AN43)</f>
        <v>84740</v>
      </c>
    </row>
    <row r="44" spans="1:41" ht="15" customHeight="1" x14ac:dyDescent="0.3">
      <c r="C44" s="4"/>
      <c r="D44" s="4"/>
      <c r="E44" s="4"/>
      <c r="F44" s="4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ht="15" customHeight="1" x14ac:dyDescent="0.35">
      <c r="B45" s="43" t="s">
        <v>81</v>
      </c>
      <c r="C45" s="58">
        <f t="shared" ref="C45:AO45" ca="1" si="14">SUM(C40,-C42,-C43)</f>
        <v>26642.599999999991</v>
      </c>
      <c r="D45" s="58">
        <f t="shared" ca="1" si="14"/>
        <v>37747.993999999992</v>
      </c>
      <c r="E45" s="58">
        <f t="shared" ca="1" si="14"/>
        <v>24090.149999999994</v>
      </c>
      <c r="F45" s="58">
        <f t="shared" ca="1" si="14"/>
        <v>-32613.040000000008</v>
      </c>
      <c r="G45" s="58">
        <f t="shared" ca="1" si="14"/>
        <v>27123.415999999997</v>
      </c>
      <c r="H45" s="58">
        <f t="shared" ca="1" si="14"/>
        <v>18108.5</v>
      </c>
      <c r="I45" s="58">
        <f t="shared" ca="1" si="14"/>
        <v>37640.119999999995</v>
      </c>
      <c r="J45" s="58">
        <f t="shared" ca="1" si="14"/>
        <v>-5378.4499999999971</v>
      </c>
      <c r="K45" s="58">
        <f t="shared" ca="1" si="14"/>
        <v>26875.709999999992</v>
      </c>
      <c r="L45" s="58">
        <f t="shared" ca="1" si="14"/>
        <v>39229.141999999993</v>
      </c>
      <c r="M45" s="58">
        <f t="shared" ca="1" si="14"/>
        <v>43781.285000000003</v>
      </c>
      <c r="N45" s="58">
        <f t="shared" ca="1" si="14"/>
        <v>43134.899999999994</v>
      </c>
      <c r="O45" s="58">
        <f t="shared" ca="1" si="14"/>
        <v>286382.32699999982</v>
      </c>
      <c r="P45" s="58">
        <f t="shared" ca="1" si="14"/>
        <v>30207.900000000009</v>
      </c>
      <c r="Q45" s="58">
        <f t="shared" ca="1" si="14"/>
        <v>13192.008000000002</v>
      </c>
      <c r="R45" s="58">
        <f t="shared" ca="1" si="14"/>
        <v>37122.766000000003</v>
      </c>
      <c r="S45" s="58">
        <f t="shared" ca="1" si="14"/>
        <v>28445.932000000001</v>
      </c>
      <c r="T45" s="58">
        <f t="shared" ca="1" si="14"/>
        <v>39564.847999999998</v>
      </c>
      <c r="U45" s="58">
        <f t="shared" ca="1" si="14"/>
        <v>5150.1680000000051</v>
      </c>
      <c r="V45" s="58">
        <f t="shared" ca="1" si="14"/>
        <v>8212.179999999993</v>
      </c>
      <c r="W45" s="58">
        <f t="shared" ca="1" si="14"/>
        <v>7609.3099999999977</v>
      </c>
      <c r="X45" s="58">
        <f t="shared" ca="1" si="14"/>
        <v>28636.703999999998</v>
      </c>
      <c r="Y45" s="58">
        <f t="shared" ca="1" si="14"/>
        <v>-10387.699999999983</v>
      </c>
      <c r="Z45" s="58">
        <f t="shared" ca="1" si="14"/>
        <v>46484.986000000004</v>
      </c>
      <c r="AA45" s="58">
        <f t="shared" ca="1" si="14"/>
        <v>38869.288</v>
      </c>
      <c r="AB45" s="58">
        <f t="shared" ca="1" si="14"/>
        <v>273108.3899999999</v>
      </c>
      <c r="AC45" s="58">
        <f t="shared" ca="1" si="14"/>
        <v>25613.72</v>
      </c>
      <c r="AD45" s="58">
        <f t="shared" ca="1" si="14"/>
        <v>-1068.7699999999895</v>
      </c>
      <c r="AE45" s="58">
        <f t="shared" ca="1" si="14"/>
        <v>17239.850000000006</v>
      </c>
      <c r="AF45" s="58">
        <f t="shared" ca="1" si="14"/>
        <v>17095.45199999999</v>
      </c>
      <c r="AG45" s="58">
        <f t="shared" ca="1" si="14"/>
        <v>-11905.592000000004</v>
      </c>
      <c r="AH45" s="58">
        <f t="shared" ca="1" si="14"/>
        <v>17092.24000000002</v>
      </c>
      <c r="AI45" s="58">
        <f t="shared" ca="1" si="14"/>
        <v>19678.440000000002</v>
      </c>
      <c r="AJ45" s="58">
        <f t="shared" ca="1" si="14"/>
        <v>40274.573000000004</v>
      </c>
      <c r="AK45" s="58">
        <f t="shared" ca="1" si="14"/>
        <v>15109.450000000012</v>
      </c>
      <c r="AL45" s="58">
        <f t="shared" ca="1" si="14"/>
        <v>13482</v>
      </c>
      <c r="AM45" s="58">
        <f t="shared" ca="1" si="14"/>
        <v>35033.599999999977</v>
      </c>
      <c r="AN45" s="58">
        <f t="shared" ca="1" si="14"/>
        <v>30249.299999999988</v>
      </c>
      <c r="AO45" s="58">
        <f t="shared" ca="1" si="14"/>
        <v>217894.26300000004</v>
      </c>
    </row>
    <row r="46" spans="1:41" ht="15" customHeight="1" x14ac:dyDescent="0.35">
      <c r="B46" s="43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</row>
    <row r="47" spans="1:41" s="32" customFormat="1" ht="15" customHeight="1" x14ac:dyDescent="0.35">
      <c r="B47" s="9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x14ac:dyDescent="0.4">
      <c r="B48" s="1" t="str">
        <f>Assumptions!$B$4</f>
        <v>Example Trading Limited</v>
      </c>
    </row>
    <row r="49" spans="2:41" ht="15" customHeight="1" x14ac:dyDescent="0.35">
      <c r="B49" s="11" t="s">
        <v>107</v>
      </c>
    </row>
    <row r="50" spans="2:41" ht="15" customHeight="1" x14ac:dyDescent="0.3">
      <c r="B50" s="44"/>
    </row>
    <row r="51" spans="2:41" s="51" customFormat="1" ht="18" customHeight="1" x14ac:dyDescent="0.35">
      <c r="B51" s="52"/>
      <c r="C51" s="53">
        <f ca="1">IF(ISBLANK(Assumptions!$B$5)=TRUE,DATE(YEAR(TODAY()),MONTH(TODAY())+1,0),DATE(YEAR(Assumptions!$B$5),MONTH(Assumptions!$B$5)+1,0))</f>
        <v>42460</v>
      </c>
      <c r="D51" s="53">
        <f t="shared" ref="D51:N51" ca="1" si="15">DATE(YEAR(C51),MONTH(C51)+2,0)</f>
        <v>42490</v>
      </c>
      <c r="E51" s="53">
        <f t="shared" ca="1" si="15"/>
        <v>42521</v>
      </c>
      <c r="F51" s="53">
        <f t="shared" ca="1" si="15"/>
        <v>42551</v>
      </c>
      <c r="G51" s="53">
        <f t="shared" ca="1" si="15"/>
        <v>42582</v>
      </c>
      <c r="H51" s="53">
        <f t="shared" ca="1" si="15"/>
        <v>42613</v>
      </c>
      <c r="I51" s="53">
        <f t="shared" ca="1" si="15"/>
        <v>42643</v>
      </c>
      <c r="J51" s="53">
        <f t="shared" ca="1" si="15"/>
        <v>42674</v>
      </c>
      <c r="K51" s="53">
        <f t="shared" ca="1" si="15"/>
        <v>42704</v>
      </c>
      <c r="L51" s="53">
        <f t="shared" ca="1" si="15"/>
        <v>42735</v>
      </c>
      <c r="M51" s="53">
        <f t="shared" ca="1" si="15"/>
        <v>42766</v>
      </c>
      <c r="N51" s="53">
        <f t="shared" ca="1" si="15"/>
        <v>42794</v>
      </c>
      <c r="O51" s="54" t="str">
        <f ca="1">"Year "&amp;YEAR(N51)</f>
        <v>Year 2017</v>
      </c>
      <c r="P51" s="53">
        <f ca="1">DATE(YEAR(N51),MONTH(N51)+2,0)</f>
        <v>42825</v>
      </c>
      <c r="Q51" s="53">
        <f t="shared" ref="Q51:AA51" ca="1" si="16">DATE(YEAR(P51),MONTH(P51)+2,0)</f>
        <v>42855</v>
      </c>
      <c r="R51" s="53">
        <f t="shared" ca="1" si="16"/>
        <v>42886</v>
      </c>
      <c r="S51" s="53">
        <f t="shared" ca="1" si="16"/>
        <v>42916</v>
      </c>
      <c r="T51" s="53">
        <f t="shared" ca="1" si="16"/>
        <v>42947</v>
      </c>
      <c r="U51" s="53">
        <f t="shared" ca="1" si="16"/>
        <v>42978</v>
      </c>
      <c r="V51" s="53">
        <f t="shared" ca="1" si="16"/>
        <v>43008</v>
      </c>
      <c r="W51" s="53">
        <f t="shared" ca="1" si="16"/>
        <v>43039</v>
      </c>
      <c r="X51" s="53">
        <f t="shared" ca="1" si="16"/>
        <v>43069</v>
      </c>
      <c r="Y51" s="53">
        <f t="shared" ca="1" si="16"/>
        <v>43100</v>
      </c>
      <c r="Z51" s="53">
        <f t="shared" ca="1" si="16"/>
        <v>43131</v>
      </c>
      <c r="AA51" s="53">
        <f t="shared" ca="1" si="16"/>
        <v>43159</v>
      </c>
      <c r="AB51" s="54" t="str">
        <f ca="1">"Year "&amp;YEAR(AA51)</f>
        <v>Year 2018</v>
      </c>
      <c r="AC51" s="53">
        <f ca="1">DATE(YEAR(AA51),MONTH(AA51)+2,0)</f>
        <v>43190</v>
      </c>
      <c r="AD51" s="53">
        <f t="shared" ref="AD51:AN51" ca="1" si="17">DATE(YEAR(AC51),MONTH(AC51)+2,0)</f>
        <v>43220</v>
      </c>
      <c r="AE51" s="53">
        <f t="shared" ca="1" si="17"/>
        <v>43251</v>
      </c>
      <c r="AF51" s="53">
        <f t="shared" ca="1" si="17"/>
        <v>43281</v>
      </c>
      <c r="AG51" s="53">
        <f t="shared" ca="1" si="17"/>
        <v>43312</v>
      </c>
      <c r="AH51" s="53">
        <f t="shared" ca="1" si="17"/>
        <v>43343</v>
      </c>
      <c r="AI51" s="53">
        <f t="shared" ca="1" si="17"/>
        <v>43373</v>
      </c>
      <c r="AJ51" s="53">
        <f t="shared" ca="1" si="17"/>
        <v>43404</v>
      </c>
      <c r="AK51" s="53">
        <f t="shared" ca="1" si="17"/>
        <v>43434</v>
      </c>
      <c r="AL51" s="53">
        <f t="shared" ca="1" si="17"/>
        <v>43465</v>
      </c>
      <c r="AM51" s="53">
        <f t="shared" ca="1" si="17"/>
        <v>43496</v>
      </c>
      <c r="AN51" s="53">
        <f t="shared" ca="1" si="17"/>
        <v>43524</v>
      </c>
      <c r="AO51" s="54" t="str">
        <f ca="1">"Year "&amp;YEAR(AN51)</f>
        <v>Year 2019</v>
      </c>
    </row>
    <row r="52" spans="2:41" ht="15" customHeight="1" x14ac:dyDescent="0.35">
      <c r="B52" s="47" t="s">
        <v>86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2:41" ht="15" customHeight="1" x14ac:dyDescent="0.3">
      <c r="B53" s="26" t="s">
        <v>81</v>
      </c>
      <c r="C53" s="4">
        <f ca="1">C45</f>
        <v>26642.599999999991</v>
      </c>
      <c r="D53" s="4">
        <f t="shared" ref="D53:AN53" ca="1" si="18">D45</f>
        <v>37747.993999999992</v>
      </c>
      <c r="E53" s="4">
        <f t="shared" ca="1" si="18"/>
        <v>24090.149999999994</v>
      </c>
      <c r="F53" s="4">
        <f t="shared" ca="1" si="18"/>
        <v>-32613.040000000008</v>
      </c>
      <c r="G53" s="4">
        <f t="shared" ca="1" si="18"/>
        <v>27123.415999999997</v>
      </c>
      <c r="H53" s="4">
        <f t="shared" ca="1" si="18"/>
        <v>18108.5</v>
      </c>
      <c r="I53" s="4">
        <f t="shared" ca="1" si="18"/>
        <v>37640.119999999995</v>
      </c>
      <c r="J53" s="4">
        <f t="shared" ca="1" si="18"/>
        <v>-5378.4499999999971</v>
      </c>
      <c r="K53" s="4">
        <f t="shared" ca="1" si="18"/>
        <v>26875.709999999992</v>
      </c>
      <c r="L53" s="4">
        <f t="shared" ca="1" si="18"/>
        <v>39229.141999999993</v>
      </c>
      <c r="M53" s="4">
        <f t="shared" ca="1" si="18"/>
        <v>43781.285000000003</v>
      </c>
      <c r="N53" s="4">
        <f t="shared" ca="1" si="18"/>
        <v>43134.899999999994</v>
      </c>
      <c r="O53" s="4">
        <f ca="1">SUM(C53:N53)</f>
        <v>286382.32699999993</v>
      </c>
      <c r="P53" s="4">
        <f t="shared" ca="1" si="18"/>
        <v>30207.900000000009</v>
      </c>
      <c r="Q53" s="4">
        <f t="shared" ca="1" si="18"/>
        <v>13192.008000000002</v>
      </c>
      <c r="R53" s="4">
        <f t="shared" ca="1" si="18"/>
        <v>37122.766000000003</v>
      </c>
      <c r="S53" s="4">
        <f t="shared" ca="1" si="18"/>
        <v>28445.932000000001</v>
      </c>
      <c r="T53" s="4">
        <f t="shared" ca="1" si="18"/>
        <v>39564.847999999998</v>
      </c>
      <c r="U53" s="4">
        <f t="shared" ca="1" si="18"/>
        <v>5150.1680000000051</v>
      </c>
      <c r="V53" s="4">
        <f t="shared" ca="1" si="18"/>
        <v>8212.179999999993</v>
      </c>
      <c r="W53" s="4">
        <f t="shared" ca="1" si="18"/>
        <v>7609.3099999999977</v>
      </c>
      <c r="X53" s="4">
        <f t="shared" ca="1" si="18"/>
        <v>28636.703999999998</v>
      </c>
      <c r="Y53" s="4">
        <f t="shared" ca="1" si="18"/>
        <v>-10387.699999999983</v>
      </c>
      <c r="Z53" s="4">
        <f t="shared" ca="1" si="18"/>
        <v>46484.986000000004</v>
      </c>
      <c r="AA53" s="4">
        <f t="shared" ca="1" si="18"/>
        <v>38869.288</v>
      </c>
      <c r="AB53" s="4">
        <f ca="1">SUM(P53:AA53)</f>
        <v>273108.39</v>
      </c>
      <c r="AC53" s="4">
        <f t="shared" ca="1" si="18"/>
        <v>25613.72</v>
      </c>
      <c r="AD53" s="4">
        <f t="shared" ca="1" si="18"/>
        <v>-1068.7699999999895</v>
      </c>
      <c r="AE53" s="4">
        <f t="shared" ca="1" si="18"/>
        <v>17239.850000000006</v>
      </c>
      <c r="AF53" s="4">
        <f t="shared" ca="1" si="18"/>
        <v>17095.45199999999</v>
      </c>
      <c r="AG53" s="4">
        <f t="shared" ca="1" si="18"/>
        <v>-11905.592000000004</v>
      </c>
      <c r="AH53" s="4">
        <f t="shared" ca="1" si="18"/>
        <v>17092.24000000002</v>
      </c>
      <c r="AI53" s="4">
        <f t="shared" ca="1" si="18"/>
        <v>19678.440000000002</v>
      </c>
      <c r="AJ53" s="4">
        <f t="shared" ca="1" si="18"/>
        <v>40274.573000000004</v>
      </c>
      <c r="AK53" s="4">
        <f t="shared" ca="1" si="18"/>
        <v>15109.450000000012</v>
      </c>
      <c r="AL53" s="4">
        <f t="shared" ca="1" si="18"/>
        <v>13482</v>
      </c>
      <c r="AM53" s="4">
        <f t="shared" ca="1" si="18"/>
        <v>35033.599999999977</v>
      </c>
      <c r="AN53" s="4">
        <f t="shared" ca="1" si="18"/>
        <v>30249.299999999988</v>
      </c>
      <c r="AO53" s="4">
        <f ca="1">SUM(AC53:AN53)</f>
        <v>217894.26300000001</v>
      </c>
    </row>
    <row r="54" spans="2:41" ht="15" customHeight="1" x14ac:dyDescent="0.3">
      <c r="B54" s="26" t="s">
        <v>50</v>
      </c>
      <c r="C54" s="4">
        <f>C42</f>
        <v>9167</v>
      </c>
      <c r="D54" s="4">
        <f t="shared" ref="D54:AN54" si="19">D42</f>
        <v>9048</v>
      </c>
      <c r="E54" s="4">
        <f t="shared" si="19"/>
        <v>8929</v>
      </c>
      <c r="F54" s="4">
        <f t="shared" si="19"/>
        <v>8809</v>
      </c>
      <c r="G54" s="4">
        <f t="shared" si="19"/>
        <v>9437</v>
      </c>
      <c r="H54" s="4">
        <f t="shared" si="19"/>
        <v>9305</v>
      </c>
      <c r="I54" s="4">
        <f t="shared" si="19"/>
        <v>9172</v>
      </c>
      <c r="J54" s="4">
        <f t="shared" si="19"/>
        <v>9038</v>
      </c>
      <c r="K54" s="4">
        <f t="shared" si="19"/>
        <v>8902</v>
      </c>
      <c r="L54" s="4">
        <f t="shared" si="19"/>
        <v>8766</v>
      </c>
      <c r="M54" s="4">
        <f t="shared" si="19"/>
        <v>8628</v>
      </c>
      <c r="N54" s="4">
        <f t="shared" si="19"/>
        <v>8489</v>
      </c>
      <c r="O54" s="4">
        <f>SUM(C54:N54)</f>
        <v>107690</v>
      </c>
      <c r="P54" s="4">
        <f t="shared" si="19"/>
        <v>8349</v>
      </c>
      <c r="Q54" s="4">
        <f t="shared" si="19"/>
        <v>8208</v>
      </c>
      <c r="R54" s="4">
        <f t="shared" si="19"/>
        <v>8066</v>
      </c>
      <c r="S54" s="4">
        <f t="shared" si="19"/>
        <v>8423</v>
      </c>
      <c r="T54" s="4">
        <f t="shared" si="19"/>
        <v>8271</v>
      </c>
      <c r="U54" s="4">
        <f t="shared" si="19"/>
        <v>8119</v>
      </c>
      <c r="V54" s="4">
        <f t="shared" si="19"/>
        <v>7965</v>
      </c>
      <c r="W54" s="4">
        <f t="shared" si="19"/>
        <v>7810</v>
      </c>
      <c r="X54" s="4">
        <f t="shared" si="19"/>
        <v>7654</v>
      </c>
      <c r="Y54" s="4">
        <f t="shared" si="19"/>
        <v>7497</v>
      </c>
      <c r="Z54" s="4">
        <f t="shared" si="19"/>
        <v>7338</v>
      </c>
      <c r="AA54" s="4">
        <f t="shared" si="19"/>
        <v>7178</v>
      </c>
      <c r="AB54" s="4">
        <f>SUM(P54:AA54)</f>
        <v>94878</v>
      </c>
      <c r="AC54" s="4">
        <f t="shared" si="19"/>
        <v>7016</v>
      </c>
      <c r="AD54" s="4">
        <f t="shared" si="19"/>
        <v>6853</v>
      </c>
      <c r="AE54" s="4">
        <f t="shared" si="19"/>
        <v>6689</v>
      </c>
      <c r="AF54" s="4">
        <f t="shared" si="19"/>
        <v>6523</v>
      </c>
      <c r="AG54" s="4">
        <f t="shared" si="19"/>
        <v>7023</v>
      </c>
      <c r="AH54" s="4">
        <f t="shared" si="19"/>
        <v>6846</v>
      </c>
      <c r="AI54" s="4">
        <f t="shared" si="19"/>
        <v>6668</v>
      </c>
      <c r="AJ54" s="4">
        <f t="shared" si="19"/>
        <v>6488</v>
      </c>
      <c r="AK54" s="4">
        <f t="shared" si="19"/>
        <v>6306</v>
      </c>
      <c r="AL54" s="4">
        <f t="shared" si="19"/>
        <v>6123</v>
      </c>
      <c r="AM54" s="4">
        <f t="shared" si="19"/>
        <v>6189</v>
      </c>
      <c r="AN54" s="4">
        <f t="shared" si="19"/>
        <v>6000</v>
      </c>
      <c r="AO54" s="4">
        <f>SUM(AC54:AN54)</f>
        <v>78724</v>
      </c>
    </row>
    <row r="55" spans="2:41" ht="15" customHeight="1" x14ac:dyDescent="0.3">
      <c r="B55" s="26" t="s">
        <v>43</v>
      </c>
      <c r="C55" s="4">
        <f>C43</f>
        <v>10360</v>
      </c>
      <c r="D55" s="4">
        <f t="shared" ref="D55:AN55" si="20">D43</f>
        <v>14680</v>
      </c>
      <c r="E55" s="4">
        <f t="shared" si="20"/>
        <v>9370</v>
      </c>
      <c r="F55" s="4">
        <f t="shared" si="20"/>
        <v>0</v>
      </c>
      <c r="G55" s="4">
        <f t="shared" si="20"/>
        <v>0</v>
      </c>
      <c r="H55" s="4">
        <f t="shared" si="20"/>
        <v>4940</v>
      </c>
      <c r="I55" s="4">
        <f t="shared" si="20"/>
        <v>14640</v>
      </c>
      <c r="J55" s="4">
        <f t="shared" si="20"/>
        <v>0</v>
      </c>
      <c r="K55" s="4">
        <f t="shared" si="20"/>
        <v>8350</v>
      </c>
      <c r="L55" s="4">
        <f t="shared" si="20"/>
        <v>15250</v>
      </c>
      <c r="M55" s="4">
        <f t="shared" si="20"/>
        <v>17030</v>
      </c>
      <c r="N55" s="4">
        <f t="shared" si="20"/>
        <v>16770</v>
      </c>
      <c r="O55" s="4">
        <f>SUM(C55:N55)</f>
        <v>111390</v>
      </c>
      <c r="P55" s="4">
        <f t="shared" si="20"/>
        <v>11750</v>
      </c>
      <c r="Q55" s="4">
        <f t="shared" si="20"/>
        <v>5130</v>
      </c>
      <c r="R55" s="4">
        <f t="shared" si="20"/>
        <v>14430</v>
      </c>
      <c r="S55" s="4">
        <f t="shared" si="20"/>
        <v>11060</v>
      </c>
      <c r="T55" s="4">
        <f t="shared" si="20"/>
        <v>15380</v>
      </c>
      <c r="U55" s="4">
        <f t="shared" si="20"/>
        <v>2000</v>
      </c>
      <c r="V55" s="4">
        <f t="shared" si="20"/>
        <v>3190</v>
      </c>
      <c r="W55" s="4">
        <f t="shared" si="20"/>
        <v>2960</v>
      </c>
      <c r="X55" s="4">
        <f t="shared" si="20"/>
        <v>11140</v>
      </c>
      <c r="Y55" s="4">
        <f t="shared" si="20"/>
        <v>0</v>
      </c>
      <c r="Z55" s="4">
        <f t="shared" si="20"/>
        <v>14030</v>
      </c>
      <c r="AA55" s="4">
        <f t="shared" si="20"/>
        <v>15120</v>
      </c>
      <c r="AB55" s="4">
        <f>SUM(P55:AA55)</f>
        <v>106190</v>
      </c>
      <c r="AC55" s="4">
        <f t="shared" si="20"/>
        <v>9960</v>
      </c>
      <c r="AD55" s="4">
        <f t="shared" si="20"/>
        <v>0</v>
      </c>
      <c r="AE55" s="4">
        <f t="shared" si="20"/>
        <v>6290</v>
      </c>
      <c r="AF55" s="4">
        <f t="shared" si="20"/>
        <v>6650</v>
      </c>
      <c r="AG55" s="4">
        <f t="shared" si="20"/>
        <v>0</v>
      </c>
      <c r="AH55" s="4">
        <f t="shared" si="20"/>
        <v>2020</v>
      </c>
      <c r="AI55" s="4">
        <f t="shared" si="20"/>
        <v>7650</v>
      </c>
      <c r="AJ55" s="4">
        <f t="shared" si="20"/>
        <v>15660</v>
      </c>
      <c r="AK55" s="4">
        <f t="shared" si="20"/>
        <v>5870</v>
      </c>
      <c r="AL55" s="4">
        <f t="shared" si="20"/>
        <v>5240</v>
      </c>
      <c r="AM55" s="4">
        <f t="shared" si="20"/>
        <v>13630</v>
      </c>
      <c r="AN55" s="4">
        <f t="shared" si="20"/>
        <v>11770</v>
      </c>
      <c r="AO55" s="4">
        <f>SUM(AC55:AN55)</f>
        <v>84740</v>
      </c>
    </row>
    <row r="56" spans="2:41" ht="15" customHeight="1" x14ac:dyDescent="0.35">
      <c r="B56" s="10" t="s">
        <v>87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2:41" ht="15" customHeight="1" x14ac:dyDescent="0.3">
      <c r="B57" s="5" t="s">
        <v>80</v>
      </c>
      <c r="C57" s="4">
        <f>C38</f>
        <v>13000</v>
      </c>
      <c r="D57" s="4">
        <f t="shared" ref="D57:AN57" si="21">D38</f>
        <v>13000</v>
      </c>
      <c r="E57" s="4">
        <f t="shared" si="21"/>
        <v>14100</v>
      </c>
      <c r="F57" s="4">
        <f t="shared" si="21"/>
        <v>14100</v>
      </c>
      <c r="G57" s="4">
        <f t="shared" si="21"/>
        <v>14100</v>
      </c>
      <c r="H57" s="4">
        <f t="shared" si="21"/>
        <v>15400</v>
      </c>
      <c r="I57" s="4">
        <f t="shared" si="21"/>
        <v>15400</v>
      </c>
      <c r="J57" s="4">
        <f t="shared" si="21"/>
        <v>15400</v>
      </c>
      <c r="K57" s="4">
        <f t="shared" si="21"/>
        <v>15400</v>
      </c>
      <c r="L57" s="4">
        <f t="shared" si="21"/>
        <v>15400</v>
      </c>
      <c r="M57" s="4">
        <f t="shared" si="21"/>
        <v>15400</v>
      </c>
      <c r="N57" s="4">
        <f t="shared" si="21"/>
        <v>15400</v>
      </c>
      <c r="O57" s="4">
        <f>SUM(C57:N57)</f>
        <v>176100</v>
      </c>
      <c r="P57" s="4">
        <f t="shared" si="21"/>
        <v>13700</v>
      </c>
      <c r="Q57" s="4">
        <f t="shared" si="21"/>
        <v>13700</v>
      </c>
      <c r="R57" s="4">
        <f t="shared" si="21"/>
        <v>13700</v>
      </c>
      <c r="S57" s="4">
        <f t="shared" si="21"/>
        <v>13700</v>
      </c>
      <c r="T57" s="4">
        <f t="shared" si="21"/>
        <v>13700</v>
      </c>
      <c r="U57" s="4">
        <f t="shared" si="21"/>
        <v>13700</v>
      </c>
      <c r="V57" s="4">
        <f t="shared" si="21"/>
        <v>13700</v>
      </c>
      <c r="W57" s="4">
        <f t="shared" si="21"/>
        <v>14200</v>
      </c>
      <c r="X57" s="4">
        <f t="shared" si="21"/>
        <v>14200</v>
      </c>
      <c r="Y57" s="4">
        <f t="shared" si="21"/>
        <v>14200</v>
      </c>
      <c r="Z57" s="4">
        <f t="shared" si="21"/>
        <v>14200</v>
      </c>
      <c r="AA57" s="4">
        <f t="shared" si="21"/>
        <v>14200</v>
      </c>
      <c r="AB57" s="4">
        <f>SUM(P57:AA57)</f>
        <v>166900</v>
      </c>
      <c r="AC57" s="4">
        <f t="shared" si="21"/>
        <v>11400</v>
      </c>
      <c r="AD57" s="4">
        <f t="shared" si="21"/>
        <v>12800</v>
      </c>
      <c r="AE57" s="4">
        <f t="shared" si="21"/>
        <v>12800</v>
      </c>
      <c r="AF57" s="4">
        <f t="shared" si="21"/>
        <v>12800</v>
      </c>
      <c r="AG57" s="4">
        <f t="shared" si="21"/>
        <v>12800</v>
      </c>
      <c r="AH57" s="4">
        <f t="shared" si="21"/>
        <v>12800</v>
      </c>
      <c r="AI57" s="4">
        <f t="shared" si="21"/>
        <v>12800</v>
      </c>
      <c r="AJ57" s="4">
        <f t="shared" si="21"/>
        <v>12800</v>
      </c>
      <c r="AK57" s="4">
        <f t="shared" si="21"/>
        <v>12800</v>
      </c>
      <c r="AL57" s="4">
        <f t="shared" si="21"/>
        <v>14300</v>
      </c>
      <c r="AM57" s="4">
        <f t="shared" si="21"/>
        <v>14300</v>
      </c>
      <c r="AN57" s="4">
        <f t="shared" si="21"/>
        <v>14300</v>
      </c>
      <c r="AO57" s="4">
        <f>SUM(AC57:AN57)</f>
        <v>156700</v>
      </c>
    </row>
    <row r="58" spans="2:41" ht="15" customHeight="1" x14ac:dyDescent="0.35">
      <c r="B58" s="11" t="s">
        <v>88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2:41" s="29" customFormat="1" ht="15" customHeight="1" x14ac:dyDescent="0.3">
      <c r="B59" s="26" t="s">
        <v>27</v>
      </c>
      <c r="C59" s="4">
        <f>BalanceSheets!C30-BalanceSheets!D30</f>
        <v>-16000</v>
      </c>
      <c r="D59" s="4">
        <f>BalanceSheets!D30-BalanceSheets!E30</f>
        <v>-24000</v>
      </c>
      <c r="E59" s="4">
        <f>BalanceSheets!E30-BalanceSheets!F30</f>
        <v>15000</v>
      </c>
      <c r="F59" s="4">
        <f>BalanceSheets!F30-BalanceSheets!G30</f>
        <v>-6200</v>
      </c>
      <c r="G59" s="4">
        <f>BalanceSheets!G30-BalanceSheets!H30</f>
        <v>16200</v>
      </c>
      <c r="H59" s="4">
        <f>BalanceSheets!H30-BalanceSheets!I30</f>
        <v>-10000</v>
      </c>
      <c r="I59" s="4">
        <f>BalanceSheets!I30-BalanceSheets!J30</f>
        <v>-13000</v>
      </c>
      <c r="J59" s="4">
        <f>BalanceSheets!J30-BalanceSheets!K30</f>
        <v>26000</v>
      </c>
      <c r="K59" s="4">
        <f>BalanceSheets!K30-BalanceSheets!L30</f>
        <v>-18000</v>
      </c>
      <c r="L59" s="4">
        <f>BalanceSheets!L30-BalanceSheets!M30</f>
        <v>0</v>
      </c>
      <c r="M59" s="4">
        <f>BalanceSheets!M30-BalanceSheets!N30</f>
        <v>-5000</v>
      </c>
      <c r="N59" s="4">
        <f>BalanceSheets!N30-BalanceSheets!O30</f>
        <v>15000</v>
      </c>
      <c r="O59" s="4">
        <f>SUM(C59:N59)</f>
        <v>-20000</v>
      </c>
      <c r="P59" s="4">
        <f>BalanceSheets!O30-BalanceSheets!P30</f>
        <v>-18000</v>
      </c>
      <c r="Q59" s="4">
        <f>BalanceSheets!P30-BalanceSheets!Q30</f>
        <v>12800</v>
      </c>
      <c r="R59" s="4">
        <f>BalanceSheets!Q30-BalanceSheets!R30</f>
        <v>-11030</v>
      </c>
      <c r="S59" s="4">
        <f>BalanceSheets!R30-BalanceSheets!S30</f>
        <v>-13770</v>
      </c>
      <c r="T59" s="4">
        <f>BalanceSheets!S30-BalanceSheets!T30</f>
        <v>11100</v>
      </c>
      <c r="U59" s="4">
        <f>BalanceSheets!T30-BalanceSheets!U30</f>
        <v>13700</v>
      </c>
      <c r="V59" s="4">
        <f>BalanceSheets!U30-BalanceSheets!V30</f>
        <v>-7800</v>
      </c>
      <c r="W59" s="4">
        <f>BalanceSheets!V30-BalanceSheets!W30</f>
        <v>-3000</v>
      </c>
      <c r="X59" s="4">
        <f>BalanceSheets!W30-BalanceSheets!X30</f>
        <v>2600</v>
      </c>
      <c r="Y59" s="4">
        <f>BalanceSheets!X30-BalanceSheets!Y30</f>
        <v>-6900</v>
      </c>
      <c r="Z59" s="4">
        <f>BalanceSheets!Y30-BalanceSheets!Z30</f>
        <v>-7300</v>
      </c>
      <c r="AA59" s="4">
        <f>BalanceSheets!Z30-BalanceSheets!AA30</f>
        <v>15260</v>
      </c>
      <c r="AB59" s="4">
        <f>SUM(P59:AA59)</f>
        <v>-12340</v>
      </c>
      <c r="AC59" s="4">
        <f>BalanceSheets!AA30-BalanceSheets!AB30</f>
        <v>-14660</v>
      </c>
      <c r="AD59" s="4">
        <f>BalanceSheets!AB30-BalanceSheets!AC30</f>
        <v>7800</v>
      </c>
      <c r="AE59" s="4">
        <f>BalanceSheets!AC30-BalanceSheets!AD30</f>
        <v>9900</v>
      </c>
      <c r="AF59" s="4">
        <f>BalanceSheets!AD30-BalanceSheets!AE30</f>
        <v>-13700</v>
      </c>
      <c r="AG59" s="4">
        <f>BalanceSheets!AE30-BalanceSheets!AF30</f>
        <v>7800</v>
      </c>
      <c r="AH59" s="4">
        <f>BalanceSheets!AF30-BalanceSheets!AG30</f>
        <v>-7200</v>
      </c>
      <c r="AI59" s="4">
        <f>BalanceSheets!AG30-BalanceSheets!AH30</f>
        <v>-16500</v>
      </c>
      <c r="AJ59" s="4">
        <f>BalanceSheets!AH30-BalanceSheets!AI30</f>
        <v>10900</v>
      </c>
      <c r="AK59" s="4">
        <f>BalanceSheets!AI30-BalanceSheets!AJ30</f>
        <v>-4000</v>
      </c>
      <c r="AL59" s="4">
        <f>BalanceSheets!AJ30-BalanceSheets!AK30</f>
        <v>4770</v>
      </c>
      <c r="AM59" s="4">
        <f>BalanceSheets!AK30-BalanceSheets!AL30</f>
        <v>10330</v>
      </c>
      <c r="AN59" s="4">
        <f>BalanceSheets!AL30-BalanceSheets!AM30</f>
        <v>-14330</v>
      </c>
      <c r="AO59" s="4">
        <f>SUM(AC59:AN59)</f>
        <v>-18890</v>
      </c>
    </row>
    <row r="60" spans="2:41" s="29" customFormat="1" ht="15" customHeight="1" x14ac:dyDescent="0.3">
      <c r="B60" s="26" t="s">
        <v>89</v>
      </c>
      <c r="C60" s="4">
        <f>BalanceSheets!C31-BalanceSheets!D31</f>
        <v>-40300</v>
      </c>
      <c r="D60" s="4">
        <f>BalanceSheets!D31-BalanceSheets!E31</f>
        <v>-15700</v>
      </c>
      <c r="E60" s="4">
        <f>BalanceSheets!E31-BalanceSheets!F31</f>
        <v>-9000</v>
      </c>
      <c r="F60" s="4">
        <f>BalanceSheets!F31-BalanceSheets!G31</f>
        <v>-4000</v>
      </c>
      <c r="G60" s="4">
        <f>BalanceSheets!G31-BalanceSheets!H31</f>
        <v>17998</v>
      </c>
      <c r="H60" s="4">
        <f>BalanceSheets!H31-BalanceSheets!I31</f>
        <v>-7698</v>
      </c>
      <c r="I60" s="4">
        <f>BalanceSheets!I31-BalanceSheets!J31</f>
        <v>-32190</v>
      </c>
      <c r="J60" s="4">
        <f>BalanceSheets!J31-BalanceSheets!K31</f>
        <v>38918</v>
      </c>
      <c r="K60" s="4">
        <f>BalanceSheets!K31-BalanceSheets!L31</f>
        <v>-23015</v>
      </c>
      <c r="L60" s="4">
        <f>BalanceSheets!L31-BalanceSheets!M31</f>
        <v>-1000</v>
      </c>
      <c r="M60" s="4">
        <f>BalanceSheets!M31-BalanceSheets!N31</f>
        <v>-3119</v>
      </c>
      <c r="N60" s="4">
        <f>BalanceSheets!N31-BalanceSheets!O31</f>
        <v>29406</v>
      </c>
      <c r="O60" s="4">
        <f>SUM(C60:N60)</f>
        <v>-49700</v>
      </c>
      <c r="P60" s="4">
        <f>BalanceSheets!O31-BalanceSheets!P31</f>
        <v>-35930</v>
      </c>
      <c r="Q60" s="4">
        <f>BalanceSheets!P31-BalanceSheets!Q31</f>
        <v>17341</v>
      </c>
      <c r="R60" s="4">
        <f>BalanceSheets!Q31-BalanceSheets!R31</f>
        <v>-23699</v>
      </c>
      <c r="S60" s="4">
        <f>BalanceSheets!R31-BalanceSheets!S31</f>
        <v>-19100</v>
      </c>
      <c r="T60" s="4">
        <f>BalanceSheets!S31-BalanceSheets!T31</f>
        <v>8748</v>
      </c>
      <c r="U60" s="4">
        <f>BalanceSheets!T31-BalanceSheets!U31</f>
        <v>41464</v>
      </c>
      <c r="V60" s="4">
        <f>BalanceSheets!U31-BalanceSheets!V31</f>
        <v>-8687</v>
      </c>
      <c r="W60" s="4">
        <f>BalanceSheets!V31-BalanceSheets!W31</f>
        <v>-11736</v>
      </c>
      <c r="X60" s="4">
        <f>BalanceSheets!W31-BalanceSheets!X31</f>
        <v>-19901</v>
      </c>
      <c r="Y60" s="4">
        <f>BalanceSheets!X31-BalanceSheets!Y31</f>
        <v>4300</v>
      </c>
      <c r="Z60" s="4">
        <f>BalanceSheets!Y31-BalanceSheets!Z31</f>
        <v>-14177</v>
      </c>
      <c r="AA60" s="4">
        <f>BalanceSheets!Z31-BalanceSheets!AA31</f>
        <v>3987</v>
      </c>
      <c r="AB60" s="4">
        <f>SUM(P60:AA60)</f>
        <v>-57390</v>
      </c>
      <c r="AC60" s="4">
        <f>BalanceSheets!AA31-BalanceSheets!AB31</f>
        <v>-98</v>
      </c>
      <c r="AD60" s="4">
        <f>BalanceSheets!AB31-BalanceSheets!AC31</f>
        <v>10407</v>
      </c>
      <c r="AE60" s="4">
        <f>BalanceSheets!AC31-BalanceSheets!AD31</f>
        <v>-18419</v>
      </c>
      <c r="AF60" s="4">
        <f>BalanceSheets!AD31-BalanceSheets!AE31</f>
        <v>-13700</v>
      </c>
      <c r="AG60" s="4">
        <f>BalanceSheets!AE31-BalanceSheets!AF31</f>
        <v>18600</v>
      </c>
      <c r="AH60" s="4">
        <f>BalanceSheets!AF31-BalanceSheets!AG31</f>
        <v>-5000</v>
      </c>
      <c r="AI60" s="4">
        <f>BalanceSheets!AG31-BalanceSheets!AH31</f>
        <v>-32550</v>
      </c>
      <c r="AJ60" s="4">
        <f>BalanceSheets!AH31-BalanceSheets!AI31</f>
        <v>18950</v>
      </c>
      <c r="AK60" s="4">
        <f>BalanceSheets!AI31-BalanceSheets!AJ31</f>
        <v>-11300</v>
      </c>
      <c r="AL60" s="4">
        <f>BalanceSheets!AJ31-BalanceSheets!AK31</f>
        <v>9982</v>
      </c>
      <c r="AM60" s="4">
        <f>BalanceSheets!AK31-BalanceSheets!AL31</f>
        <v>-10062</v>
      </c>
      <c r="AN60" s="4">
        <f>BalanceSheets!AL31-BalanceSheets!AM31</f>
        <v>14880</v>
      </c>
      <c r="AO60" s="4">
        <f>SUM(AC60:AN60)</f>
        <v>-18310</v>
      </c>
    </row>
    <row r="61" spans="2:41" s="29" customFormat="1" ht="15" customHeight="1" x14ac:dyDescent="0.3">
      <c r="B61" s="26" t="s">
        <v>90</v>
      </c>
      <c r="C61" s="4">
        <f>BalanceSheets!D39-BalanceSheets!C39</f>
        <v>2380</v>
      </c>
      <c r="D61" s="4">
        <f>BalanceSheets!E39-BalanceSheets!D39</f>
        <v>-12379</v>
      </c>
      <c r="E61" s="4">
        <f>BalanceSheets!F39-BalanceSheets!E39</f>
        <v>-10656</v>
      </c>
      <c r="F61" s="4">
        <f>BalanceSheets!G39-BalanceSheets!F39</f>
        <v>-10692</v>
      </c>
      <c r="G61" s="4">
        <f>BalanceSheets!H39-BalanceSheets!G39</f>
        <v>24236</v>
      </c>
      <c r="H61" s="4">
        <f>BalanceSheets!I39-BalanceSheets!H39</f>
        <v>7311</v>
      </c>
      <c r="I61" s="4">
        <f>BalanceSheets!J39-BalanceSheets!I39</f>
        <v>-22970</v>
      </c>
      <c r="J61" s="4">
        <f>BalanceSheets!K39-BalanceSheets!J39</f>
        <v>24770</v>
      </c>
      <c r="K61" s="4">
        <f>BalanceSheets!L39-BalanceSheets!K39</f>
        <v>-22800</v>
      </c>
      <c r="L61" s="4">
        <f>BalanceSheets!M39-BalanceSheets!L39</f>
        <v>14256</v>
      </c>
      <c r="M61" s="4">
        <f>BalanceSheets!N39-BalanceSheets!M39</f>
        <v>23574</v>
      </c>
      <c r="N61" s="4">
        <f>BalanceSheets!O39-BalanceSheets!N39</f>
        <v>-13043</v>
      </c>
      <c r="O61" s="4">
        <f>SUM(C61:N61)</f>
        <v>3987</v>
      </c>
      <c r="P61" s="4">
        <f>BalanceSheets!P39-BalanceSheets!O39</f>
        <v>-13638</v>
      </c>
      <c r="Q61" s="4">
        <f>BalanceSheets!Q39-BalanceSheets!P39</f>
        <v>44851</v>
      </c>
      <c r="R61" s="4">
        <f>BalanceSheets!R39-BalanceSheets!Q39</f>
        <v>-42340</v>
      </c>
      <c r="S61" s="4">
        <f>BalanceSheets!S39-BalanceSheets!R39</f>
        <v>4963</v>
      </c>
      <c r="T61" s="4">
        <f>BalanceSheets!T39-BalanceSheets!S39</f>
        <v>15217</v>
      </c>
      <c r="U61" s="4">
        <f>BalanceSheets!U39-BalanceSheets!T39</f>
        <v>5050</v>
      </c>
      <c r="V61" s="4">
        <f>BalanceSheets!V39-BalanceSheets!U39</f>
        <v>2992</v>
      </c>
      <c r="W61" s="4">
        <f>BalanceSheets!W39-BalanceSheets!V39</f>
        <v>-11352</v>
      </c>
      <c r="X61" s="4">
        <f>BalanceSheets!X39-BalanceSheets!W39</f>
        <v>4340</v>
      </c>
      <c r="Y61" s="4">
        <f>BalanceSheets!Y39-BalanceSheets!X39</f>
        <v>-10870</v>
      </c>
      <c r="Z61" s="4">
        <f>BalanceSheets!Z39-BalanceSheets!Y39</f>
        <v>4030</v>
      </c>
      <c r="AA61" s="4">
        <f>BalanceSheets!AA39-BalanceSheets!Z39</f>
        <v>14810</v>
      </c>
      <c r="AB61" s="4">
        <f>SUM(P61:AA61)</f>
        <v>18053</v>
      </c>
      <c r="AC61" s="4">
        <f>BalanceSheets!AB39-BalanceSheets!AA39</f>
        <v>11040</v>
      </c>
      <c r="AD61" s="4">
        <f>BalanceSheets!AC39-BalanceSheets!AB39</f>
        <v>-34072</v>
      </c>
      <c r="AE61" s="4">
        <f>BalanceSheets!AD39-BalanceSheets!AC39</f>
        <v>23062</v>
      </c>
      <c r="AF61" s="4">
        <f>BalanceSheets!AE39-BalanceSheets!AD39</f>
        <v>7130</v>
      </c>
      <c r="AG61" s="4">
        <f>BalanceSheets!AF39-BalanceSheets!AE39</f>
        <v>-12820</v>
      </c>
      <c r="AH61" s="4">
        <f>BalanceSheets!AG39-BalanceSheets!AF39</f>
        <v>2650</v>
      </c>
      <c r="AI61" s="4">
        <f>BalanceSheets!AH39-BalanceSheets!AG39</f>
        <v>14040</v>
      </c>
      <c r="AJ61" s="4">
        <f>BalanceSheets!AI39-BalanceSheets!AH39</f>
        <v>22160</v>
      </c>
      <c r="AK61" s="4">
        <f>BalanceSheets!AJ39-BalanceSheets!AI39</f>
        <v>-33158</v>
      </c>
      <c r="AL61" s="4">
        <f>BalanceSheets!AK39-BalanceSheets!AJ39</f>
        <v>2823</v>
      </c>
      <c r="AM61" s="4">
        <f>BalanceSheets!AL39-BalanceSheets!AK39</f>
        <v>9090</v>
      </c>
      <c r="AN61" s="4">
        <f>BalanceSheets!AM39-BalanceSheets!AL39</f>
        <v>-18185</v>
      </c>
      <c r="AO61" s="4">
        <f>SUM(AC61:AN61)</f>
        <v>-6240</v>
      </c>
    </row>
    <row r="62" spans="2:41" s="12" customFormat="1" ht="15" customHeight="1" x14ac:dyDescent="0.35">
      <c r="B62" s="11" t="s">
        <v>91</v>
      </c>
      <c r="C62" s="118">
        <f ca="1">SUM(C53:C61)</f>
        <v>5249.5999999999913</v>
      </c>
      <c r="D62" s="118">
        <f t="shared" ref="D62:AO62" ca="1" si="22">SUM(D53:D61)</f>
        <v>22396.993999999992</v>
      </c>
      <c r="E62" s="118">
        <f t="shared" ca="1" si="22"/>
        <v>51833.149999999994</v>
      </c>
      <c r="F62" s="118">
        <f t="shared" ca="1" si="22"/>
        <v>-30596.040000000008</v>
      </c>
      <c r="G62" s="118">
        <f t="shared" ca="1" si="22"/>
        <v>109094.416</v>
      </c>
      <c r="H62" s="118">
        <f t="shared" ca="1" si="22"/>
        <v>37366.5</v>
      </c>
      <c r="I62" s="118">
        <f t="shared" ca="1" si="22"/>
        <v>8692.1199999999953</v>
      </c>
      <c r="J62" s="118">
        <f t="shared" ca="1" si="22"/>
        <v>108747.55</v>
      </c>
      <c r="K62" s="118">
        <f t="shared" ca="1" si="22"/>
        <v>-4287.2900000000081</v>
      </c>
      <c r="L62" s="118">
        <f t="shared" ca="1" si="22"/>
        <v>91901.141999999993</v>
      </c>
      <c r="M62" s="118">
        <f t="shared" ca="1" si="22"/>
        <v>100294.285</v>
      </c>
      <c r="N62" s="118">
        <f t="shared" ca="1" si="22"/>
        <v>115156.9</v>
      </c>
      <c r="O62" s="118">
        <f t="shared" ca="1" si="22"/>
        <v>615849.32699999993</v>
      </c>
      <c r="P62" s="118">
        <f t="shared" ca="1" si="22"/>
        <v>-3561.0999999999913</v>
      </c>
      <c r="Q62" s="118">
        <f t="shared" ca="1" si="22"/>
        <v>115222.008</v>
      </c>
      <c r="R62" s="118">
        <f t="shared" ca="1" si="22"/>
        <v>-3750.2339999999967</v>
      </c>
      <c r="S62" s="118">
        <f t="shared" ca="1" si="22"/>
        <v>33721.932000000001</v>
      </c>
      <c r="T62" s="118">
        <f t="shared" ca="1" si="22"/>
        <v>111980.848</v>
      </c>
      <c r="U62" s="118">
        <f t="shared" ca="1" si="22"/>
        <v>89183.168000000005</v>
      </c>
      <c r="V62" s="118">
        <f t="shared" ca="1" si="22"/>
        <v>19572.179999999993</v>
      </c>
      <c r="W62" s="118">
        <f t="shared" ca="1" si="22"/>
        <v>6491.3099999999977</v>
      </c>
      <c r="X62" s="118">
        <f t="shared" ca="1" si="22"/>
        <v>48669.703999999998</v>
      </c>
      <c r="Y62" s="118">
        <f t="shared" ca="1" si="22"/>
        <v>-2160.6999999999825</v>
      </c>
      <c r="Z62" s="118">
        <f t="shared" ca="1" si="22"/>
        <v>64605.986000000004</v>
      </c>
      <c r="AA62" s="118">
        <f t="shared" ca="1" si="22"/>
        <v>109424.288</v>
      </c>
      <c r="AB62" s="118">
        <f t="shared" ca="1" si="22"/>
        <v>589399.39</v>
      </c>
      <c r="AC62" s="118">
        <f t="shared" ca="1" si="22"/>
        <v>50271.72</v>
      </c>
      <c r="AD62" s="118">
        <f t="shared" ca="1" si="22"/>
        <v>2719.2300000000105</v>
      </c>
      <c r="AE62" s="118">
        <f t="shared" ca="1" si="22"/>
        <v>57561.850000000006</v>
      </c>
      <c r="AF62" s="118">
        <f t="shared" ca="1" si="22"/>
        <v>22798.45199999999</v>
      </c>
      <c r="AG62" s="118">
        <f t="shared" ca="1" si="22"/>
        <v>21497.407999999996</v>
      </c>
      <c r="AH62" s="118">
        <f t="shared" ca="1" si="22"/>
        <v>29208.24000000002</v>
      </c>
      <c r="AI62" s="118">
        <f t="shared" ca="1" si="22"/>
        <v>11786.440000000002</v>
      </c>
      <c r="AJ62" s="118">
        <f t="shared" ca="1" si="22"/>
        <v>127232.573</v>
      </c>
      <c r="AK62" s="118">
        <f t="shared" ca="1" si="22"/>
        <v>-8372.5499999999884</v>
      </c>
      <c r="AL62" s="118">
        <f t="shared" ca="1" si="22"/>
        <v>56720</v>
      </c>
      <c r="AM62" s="118">
        <f t="shared" ca="1" si="22"/>
        <v>78510.599999999977</v>
      </c>
      <c r="AN62" s="118">
        <f t="shared" ca="1" si="22"/>
        <v>44684.299999999988</v>
      </c>
      <c r="AO62" s="118">
        <f t="shared" ca="1" si="22"/>
        <v>494618.26300000004</v>
      </c>
    </row>
    <row r="63" spans="2:41" s="29" customFormat="1" ht="15" customHeight="1" x14ac:dyDescent="0.3">
      <c r="B63" s="3" t="s">
        <v>92</v>
      </c>
      <c r="C63" s="4">
        <f>-C54</f>
        <v>-9167</v>
      </c>
      <c r="D63" s="4">
        <f t="shared" ref="D63:N63" si="23">-D54</f>
        <v>-9048</v>
      </c>
      <c r="E63" s="4">
        <f t="shared" si="23"/>
        <v>-8929</v>
      </c>
      <c r="F63" s="4">
        <f t="shared" si="23"/>
        <v>-8809</v>
      </c>
      <c r="G63" s="4">
        <f t="shared" si="23"/>
        <v>-9437</v>
      </c>
      <c r="H63" s="4">
        <f t="shared" si="23"/>
        <v>-9305</v>
      </c>
      <c r="I63" s="4">
        <f t="shared" si="23"/>
        <v>-9172</v>
      </c>
      <c r="J63" s="4">
        <f t="shared" si="23"/>
        <v>-9038</v>
      </c>
      <c r="K63" s="4">
        <f t="shared" si="23"/>
        <v>-8902</v>
      </c>
      <c r="L63" s="4">
        <f t="shared" si="23"/>
        <v>-8766</v>
      </c>
      <c r="M63" s="4">
        <f t="shared" si="23"/>
        <v>-8628</v>
      </c>
      <c r="N63" s="4">
        <f t="shared" si="23"/>
        <v>-8489</v>
      </c>
      <c r="O63" s="4">
        <f>SUM(C63:N63)</f>
        <v>-107690</v>
      </c>
      <c r="P63" s="4">
        <f t="shared" ref="P63:AA63" si="24">-P54</f>
        <v>-8349</v>
      </c>
      <c r="Q63" s="4">
        <f t="shared" si="24"/>
        <v>-8208</v>
      </c>
      <c r="R63" s="4">
        <f t="shared" si="24"/>
        <v>-8066</v>
      </c>
      <c r="S63" s="4">
        <f t="shared" si="24"/>
        <v>-8423</v>
      </c>
      <c r="T63" s="4">
        <f t="shared" si="24"/>
        <v>-8271</v>
      </c>
      <c r="U63" s="4">
        <f t="shared" si="24"/>
        <v>-8119</v>
      </c>
      <c r="V63" s="4">
        <f t="shared" si="24"/>
        <v>-7965</v>
      </c>
      <c r="W63" s="4">
        <f t="shared" si="24"/>
        <v>-7810</v>
      </c>
      <c r="X63" s="4">
        <f t="shared" si="24"/>
        <v>-7654</v>
      </c>
      <c r="Y63" s="4">
        <f t="shared" si="24"/>
        <v>-7497</v>
      </c>
      <c r="Z63" s="4">
        <f t="shared" si="24"/>
        <v>-7338</v>
      </c>
      <c r="AA63" s="4">
        <f t="shared" si="24"/>
        <v>-7178</v>
      </c>
      <c r="AB63" s="4">
        <f>SUM(P63:AA63)</f>
        <v>-94878</v>
      </c>
      <c r="AC63" s="4">
        <f t="shared" ref="AC63:AN63" si="25">-AC54</f>
        <v>-7016</v>
      </c>
      <c r="AD63" s="4">
        <f t="shared" si="25"/>
        <v>-6853</v>
      </c>
      <c r="AE63" s="4">
        <f t="shared" si="25"/>
        <v>-6689</v>
      </c>
      <c r="AF63" s="4">
        <f t="shared" si="25"/>
        <v>-6523</v>
      </c>
      <c r="AG63" s="4">
        <f t="shared" si="25"/>
        <v>-7023</v>
      </c>
      <c r="AH63" s="4">
        <f t="shared" si="25"/>
        <v>-6846</v>
      </c>
      <c r="AI63" s="4">
        <f t="shared" si="25"/>
        <v>-6668</v>
      </c>
      <c r="AJ63" s="4">
        <f t="shared" si="25"/>
        <v>-6488</v>
      </c>
      <c r="AK63" s="4">
        <f t="shared" si="25"/>
        <v>-6306</v>
      </c>
      <c r="AL63" s="4">
        <f t="shared" si="25"/>
        <v>-6123</v>
      </c>
      <c r="AM63" s="4">
        <f t="shared" si="25"/>
        <v>-6189</v>
      </c>
      <c r="AN63" s="4">
        <f t="shared" si="25"/>
        <v>-6000</v>
      </c>
      <c r="AO63" s="4">
        <f>SUM(AC63:AN63)</f>
        <v>-78724</v>
      </c>
    </row>
    <row r="64" spans="2:41" s="29" customFormat="1" ht="15" customHeight="1" x14ac:dyDescent="0.3">
      <c r="B64" s="3" t="s">
        <v>93</v>
      </c>
      <c r="C64" s="4">
        <f>BalanceSheets!D40-BalanceSheets!C40-C55</f>
        <v>0</v>
      </c>
      <c r="D64" s="4">
        <f>BalanceSheets!E40-BalanceSheets!D40-D55</f>
        <v>0</v>
      </c>
      <c r="E64" s="4">
        <f>BalanceSheets!F40-BalanceSheets!E40-E55</f>
        <v>0</v>
      </c>
      <c r="F64" s="4">
        <f>BalanceSheets!G40-BalanceSheets!F40-F55</f>
        <v>0</v>
      </c>
      <c r="G64" s="4">
        <f>BalanceSheets!H40-BalanceSheets!G40-G55</f>
        <v>0</v>
      </c>
      <c r="H64" s="4">
        <f>BalanceSheets!I40-BalanceSheets!H40-H55</f>
        <v>-39350</v>
      </c>
      <c r="I64" s="4">
        <f>BalanceSheets!J40-BalanceSheets!I40-I55</f>
        <v>0</v>
      </c>
      <c r="J64" s="4">
        <f>BalanceSheets!K40-BalanceSheets!J40-J55</f>
        <v>0</v>
      </c>
      <c r="K64" s="4">
        <f>BalanceSheets!L40-BalanceSheets!K40-K55</f>
        <v>0</v>
      </c>
      <c r="L64" s="4">
        <f>BalanceSheets!M40-BalanceSheets!L40-L55</f>
        <v>0</v>
      </c>
      <c r="M64" s="4">
        <f>BalanceSheets!N40-BalanceSheets!M40-M55</f>
        <v>0</v>
      </c>
      <c r="N64" s="4">
        <f>BalanceSheets!O40-BalanceSheets!N40-N55</f>
        <v>-72040</v>
      </c>
      <c r="O64" s="4">
        <f>SUM(C64:N64)</f>
        <v>-111390</v>
      </c>
      <c r="P64" s="4">
        <f>BalanceSheets!P40-BalanceSheets!O40-P55</f>
        <v>0</v>
      </c>
      <c r="Q64" s="4">
        <f>BalanceSheets!Q40-BalanceSheets!P40-Q55</f>
        <v>0</v>
      </c>
      <c r="R64" s="4">
        <f>BalanceSheets!R40-BalanceSheets!Q40-R55</f>
        <v>0</v>
      </c>
      <c r="S64" s="4">
        <f>BalanceSheets!S40-BalanceSheets!R40-S55</f>
        <v>0</v>
      </c>
      <c r="T64" s="4">
        <f>BalanceSheets!T40-BalanceSheets!S40-T55</f>
        <v>0</v>
      </c>
      <c r="U64" s="4">
        <f>BalanceSheets!U40-BalanceSheets!T40-U55</f>
        <v>-59750</v>
      </c>
      <c r="V64" s="4">
        <f>BalanceSheets!V40-BalanceSheets!U40-V55</f>
        <v>0</v>
      </c>
      <c r="W64" s="4">
        <f>BalanceSheets!W40-BalanceSheets!V40-W55</f>
        <v>0</v>
      </c>
      <c r="X64" s="4">
        <f>BalanceSheets!X40-BalanceSheets!W40-X55</f>
        <v>0</v>
      </c>
      <c r="Y64" s="4">
        <f>BalanceSheets!Y40-BalanceSheets!X40-Y55</f>
        <v>0</v>
      </c>
      <c r="Z64" s="4">
        <f>BalanceSheets!Z40-BalanceSheets!Y40-Z55</f>
        <v>0</v>
      </c>
      <c r="AA64" s="4">
        <f>BalanceSheets!AA40-BalanceSheets!Z40-AA55</f>
        <v>-46440</v>
      </c>
      <c r="AB64" s="4">
        <f>SUM(P64:AA64)</f>
        <v>-106190</v>
      </c>
      <c r="AC64" s="4">
        <f>BalanceSheets!AB40-BalanceSheets!AA40-AC55</f>
        <v>0</v>
      </c>
      <c r="AD64" s="4">
        <f>BalanceSheets!AC40-BalanceSheets!AB40-AD55</f>
        <v>0</v>
      </c>
      <c r="AE64" s="4">
        <f>BalanceSheets!AD40-BalanceSheets!AC40-AE55</f>
        <v>0</v>
      </c>
      <c r="AF64" s="4">
        <f>BalanceSheets!AE40-BalanceSheets!AD40-AF55</f>
        <v>0</v>
      </c>
      <c r="AG64" s="4">
        <f>BalanceSheets!AF40-BalanceSheets!AE40-AG55</f>
        <v>0</v>
      </c>
      <c r="AH64" s="4">
        <f>BalanceSheets!AG40-BalanceSheets!AF40-AH55</f>
        <v>-24920</v>
      </c>
      <c r="AI64" s="4">
        <f>BalanceSheets!AH40-BalanceSheets!AG40-AI55</f>
        <v>0</v>
      </c>
      <c r="AJ64" s="4">
        <f>BalanceSheets!AI40-BalanceSheets!AH40-AJ55</f>
        <v>0</v>
      </c>
      <c r="AK64" s="4">
        <f>BalanceSheets!AJ40-BalanceSheets!AI40-AK55</f>
        <v>0</v>
      </c>
      <c r="AL64" s="4">
        <f>BalanceSheets!AK40-BalanceSheets!AJ40-AL55</f>
        <v>0</v>
      </c>
      <c r="AM64" s="4">
        <f>BalanceSheets!AL40-BalanceSheets!AK40-AM55</f>
        <v>0</v>
      </c>
      <c r="AN64" s="4">
        <f>BalanceSheets!AM40-BalanceSheets!AL40-AN55</f>
        <v>-59820</v>
      </c>
      <c r="AO64" s="4">
        <f>SUM(AC64:AN64)</f>
        <v>-84740</v>
      </c>
    </row>
    <row r="65" spans="1:41" s="12" customFormat="1" ht="15" customHeight="1" x14ac:dyDescent="0.35">
      <c r="B65" s="11" t="s">
        <v>94</v>
      </c>
      <c r="C65" s="117">
        <f ca="1">SUM(C62:C64)</f>
        <v>-3917.4000000000087</v>
      </c>
      <c r="D65" s="117">
        <f t="shared" ref="D65:AO65" ca="1" si="26">SUM(D62:D64)</f>
        <v>13348.993999999992</v>
      </c>
      <c r="E65" s="117">
        <f t="shared" ca="1" si="26"/>
        <v>42904.149999999994</v>
      </c>
      <c r="F65" s="117">
        <f t="shared" ca="1" si="26"/>
        <v>-39405.040000000008</v>
      </c>
      <c r="G65" s="117">
        <f t="shared" ca="1" si="26"/>
        <v>99657.415999999997</v>
      </c>
      <c r="H65" s="117">
        <f t="shared" ca="1" si="26"/>
        <v>-11288.5</v>
      </c>
      <c r="I65" s="117">
        <f t="shared" ca="1" si="26"/>
        <v>-479.88000000000466</v>
      </c>
      <c r="J65" s="117">
        <f t="shared" ca="1" si="26"/>
        <v>99709.55</v>
      </c>
      <c r="K65" s="117">
        <f t="shared" ca="1" si="26"/>
        <v>-13189.290000000008</v>
      </c>
      <c r="L65" s="117">
        <f t="shared" ca="1" si="26"/>
        <v>83135.141999999993</v>
      </c>
      <c r="M65" s="117">
        <f t="shared" ca="1" si="26"/>
        <v>91666.285000000003</v>
      </c>
      <c r="N65" s="117">
        <f t="shared" ca="1" si="26"/>
        <v>34627.899999999994</v>
      </c>
      <c r="O65" s="117">
        <f t="shared" ca="1" si="26"/>
        <v>396769.32699999993</v>
      </c>
      <c r="P65" s="117">
        <f t="shared" ca="1" si="26"/>
        <v>-11910.099999999991</v>
      </c>
      <c r="Q65" s="117">
        <f t="shared" ca="1" si="26"/>
        <v>107014.008</v>
      </c>
      <c r="R65" s="117">
        <f t="shared" ca="1" si="26"/>
        <v>-11816.233999999997</v>
      </c>
      <c r="S65" s="117">
        <f t="shared" ca="1" si="26"/>
        <v>25298.932000000001</v>
      </c>
      <c r="T65" s="117">
        <f t="shared" ca="1" si="26"/>
        <v>103709.848</v>
      </c>
      <c r="U65" s="117">
        <f t="shared" ca="1" si="26"/>
        <v>21314.168000000005</v>
      </c>
      <c r="V65" s="117">
        <f t="shared" ca="1" si="26"/>
        <v>11607.179999999993</v>
      </c>
      <c r="W65" s="117">
        <f t="shared" ca="1" si="26"/>
        <v>-1318.6900000000023</v>
      </c>
      <c r="X65" s="117">
        <f t="shared" ca="1" si="26"/>
        <v>41015.703999999998</v>
      </c>
      <c r="Y65" s="117">
        <f t="shared" ca="1" si="26"/>
        <v>-9657.6999999999825</v>
      </c>
      <c r="Z65" s="117">
        <f t="shared" ca="1" si="26"/>
        <v>57267.986000000004</v>
      </c>
      <c r="AA65" s="117">
        <f t="shared" ca="1" si="26"/>
        <v>55806.288</v>
      </c>
      <c r="AB65" s="117">
        <f t="shared" ca="1" si="26"/>
        <v>388331.39</v>
      </c>
      <c r="AC65" s="117">
        <f t="shared" ca="1" si="26"/>
        <v>43255.72</v>
      </c>
      <c r="AD65" s="117">
        <f t="shared" ca="1" si="26"/>
        <v>-4133.7699999999895</v>
      </c>
      <c r="AE65" s="117">
        <f t="shared" ca="1" si="26"/>
        <v>50872.850000000006</v>
      </c>
      <c r="AF65" s="117">
        <f t="shared" ca="1" si="26"/>
        <v>16275.45199999999</v>
      </c>
      <c r="AG65" s="117">
        <f t="shared" ca="1" si="26"/>
        <v>14474.407999999996</v>
      </c>
      <c r="AH65" s="117">
        <f t="shared" ca="1" si="26"/>
        <v>-2557.7599999999802</v>
      </c>
      <c r="AI65" s="117">
        <f t="shared" ca="1" si="26"/>
        <v>5118.4400000000023</v>
      </c>
      <c r="AJ65" s="117">
        <f t="shared" ca="1" si="26"/>
        <v>120744.573</v>
      </c>
      <c r="AK65" s="117">
        <f t="shared" ca="1" si="26"/>
        <v>-14678.549999999988</v>
      </c>
      <c r="AL65" s="117">
        <f t="shared" ca="1" si="26"/>
        <v>50597</v>
      </c>
      <c r="AM65" s="117">
        <f t="shared" ca="1" si="26"/>
        <v>72321.599999999977</v>
      </c>
      <c r="AN65" s="117">
        <f t="shared" ca="1" si="26"/>
        <v>-21135.700000000012</v>
      </c>
      <c r="AO65" s="117">
        <f t="shared" ca="1" si="26"/>
        <v>331154.26300000004</v>
      </c>
    </row>
    <row r="66" spans="1:41" s="29" customFormat="1" ht="15" customHeight="1" x14ac:dyDescent="0.3">
      <c r="B66" s="26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s="16" customFormat="1" ht="15" customHeight="1" x14ac:dyDescent="0.35">
      <c r="B67" s="43" t="s">
        <v>95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</row>
    <row r="68" spans="1:41" s="29" customFormat="1" ht="15" customHeight="1" x14ac:dyDescent="0.35">
      <c r="A68" s="36"/>
      <c r="B68" s="26" t="s">
        <v>96</v>
      </c>
      <c r="C68" s="4">
        <v>0</v>
      </c>
      <c r="D68" s="4">
        <v>0</v>
      </c>
      <c r="E68" s="4">
        <v>0</v>
      </c>
      <c r="F68" s="4">
        <v>0</v>
      </c>
      <c r="G68" s="4">
        <v>-102000</v>
      </c>
      <c r="H68" s="4">
        <v>0</v>
      </c>
      <c r="I68" s="4">
        <v>0</v>
      </c>
      <c r="J68" s="4">
        <v>-32000</v>
      </c>
      <c r="K68" s="4">
        <v>0</v>
      </c>
      <c r="L68" s="4">
        <v>0</v>
      </c>
      <c r="M68" s="4">
        <v>0</v>
      </c>
      <c r="N68" s="4">
        <v>0</v>
      </c>
      <c r="O68" s="4">
        <f>SUM(C68:N68)</f>
        <v>-134000</v>
      </c>
      <c r="P68" s="4">
        <v>-63008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-23980</v>
      </c>
      <c r="X68" s="4">
        <v>0</v>
      </c>
      <c r="Y68" s="4">
        <v>0</v>
      </c>
      <c r="Z68" s="4">
        <v>0</v>
      </c>
      <c r="AA68" s="4">
        <v>0</v>
      </c>
      <c r="AB68" s="4">
        <f>SUM(P68:AA68)</f>
        <v>-86988</v>
      </c>
      <c r="AC68" s="4">
        <v>0</v>
      </c>
      <c r="AD68" s="4">
        <v>-81200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-94300</v>
      </c>
      <c r="AM68" s="4">
        <v>0</v>
      </c>
      <c r="AN68" s="4">
        <v>0</v>
      </c>
      <c r="AO68" s="4">
        <f>SUM(AC68:AN68)</f>
        <v>-175500</v>
      </c>
    </row>
    <row r="69" spans="1:41" s="10" customFormat="1" ht="15" customHeight="1" x14ac:dyDescent="0.35">
      <c r="B69" s="11" t="s">
        <v>97</v>
      </c>
      <c r="C69" s="117">
        <f>SUM(C68)</f>
        <v>0</v>
      </c>
      <c r="D69" s="117">
        <f t="shared" ref="D69:AO69" si="27">SUM(D68)</f>
        <v>0</v>
      </c>
      <c r="E69" s="117">
        <f t="shared" si="27"/>
        <v>0</v>
      </c>
      <c r="F69" s="117">
        <f t="shared" si="27"/>
        <v>0</v>
      </c>
      <c r="G69" s="117">
        <f t="shared" si="27"/>
        <v>-102000</v>
      </c>
      <c r="H69" s="117">
        <f t="shared" si="27"/>
        <v>0</v>
      </c>
      <c r="I69" s="117">
        <f t="shared" si="27"/>
        <v>0</v>
      </c>
      <c r="J69" s="117">
        <f t="shared" si="27"/>
        <v>-32000</v>
      </c>
      <c r="K69" s="117">
        <f t="shared" si="27"/>
        <v>0</v>
      </c>
      <c r="L69" s="117">
        <f t="shared" si="27"/>
        <v>0</v>
      </c>
      <c r="M69" s="117">
        <f t="shared" si="27"/>
        <v>0</v>
      </c>
      <c r="N69" s="117">
        <f t="shared" si="27"/>
        <v>0</v>
      </c>
      <c r="O69" s="117">
        <f t="shared" si="27"/>
        <v>-134000</v>
      </c>
      <c r="P69" s="117">
        <f t="shared" si="27"/>
        <v>-63008</v>
      </c>
      <c r="Q69" s="117">
        <f t="shared" si="27"/>
        <v>0</v>
      </c>
      <c r="R69" s="117">
        <f t="shared" si="27"/>
        <v>0</v>
      </c>
      <c r="S69" s="117">
        <f t="shared" si="27"/>
        <v>0</v>
      </c>
      <c r="T69" s="117">
        <f t="shared" si="27"/>
        <v>0</v>
      </c>
      <c r="U69" s="117">
        <f t="shared" si="27"/>
        <v>0</v>
      </c>
      <c r="V69" s="117">
        <f t="shared" si="27"/>
        <v>0</v>
      </c>
      <c r="W69" s="117">
        <f t="shared" si="27"/>
        <v>-23980</v>
      </c>
      <c r="X69" s="117">
        <f t="shared" si="27"/>
        <v>0</v>
      </c>
      <c r="Y69" s="117">
        <f t="shared" si="27"/>
        <v>0</v>
      </c>
      <c r="Z69" s="117">
        <f t="shared" si="27"/>
        <v>0</v>
      </c>
      <c r="AA69" s="117">
        <f t="shared" si="27"/>
        <v>0</v>
      </c>
      <c r="AB69" s="117">
        <f t="shared" si="27"/>
        <v>-86988</v>
      </c>
      <c r="AC69" s="117">
        <f t="shared" si="27"/>
        <v>0</v>
      </c>
      <c r="AD69" s="117">
        <f t="shared" si="27"/>
        <v>-81200</v>
      </c>
      <c r="AE69" s="117">
        <f t="shared" si="27"/>
        <v>0</v>
      </c>
      <c r="AF69" s="117">
        <f t="shared" si="27"/>
        <v>0</v>
      </c>
      <c r="AG69" s="117">
        <f t="shared" si="27"/>
        <v>0</v>
      </c>
      <c r="AH69" s="117">
        <f t="shared" si="27"/>
        <v>0</v>
      </c>
      <c r="AI69" s="117">
        <f t="shared" si="27"/>
        <v>0</v>
      </c>
      <c r="AJ69" s="117">
        <f t="shared" si="27"/>
        <v>0</v>
      </c>
      <c r="AK69" s="117">
        <f t="shared" si="27"/>
        <v>0</v>
      </c>
      <c r="AL69" s="117">
        <f t="shared" si="27"/>
        <v>-94300</v>
      </c>
      <c r="AM69" s="117">
        <f t="shared" si="27"/>
        <v>0</v>
      </c>
      <c r="AN69" s="117">
        <f t="shared" si="27"/>
        <v>0</v>
      </c>
      <c r="AO69" s="117">
        <f t="shared" si="27"/>
        <v>-175500</v>
      </c>
    </row>
    <row r="70" spans="1:41" ht="15" customHeight="1" x14ac:dyDescent="0.3">
      <c r="C70" s="4"/>
      <c r="D70" s="4"/>
      <c r="E70" s="4"/>
      <c r="F70" s="4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</row>
    <row r="71" spans="1:41" s="47" customFormat="1" ht="15" customHeight="1" x14ac:dyDescent="0.35">
      <c r="B71" s="43" t="s">
        <v>98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</row>
    <row r="72" spans="1:41" s="29" customFormat="1" ht="15" customHeight="1" x14ac:dyDescent="0.3">
      <c r="A72" s="128"/>
      <c r="B72" s="26" t="s">
        <v>99</v>
      </c>
      <c r="C72" s="4">
        <f>BalanceSheets!D35-BalanceSheets!C35</f>
        <v>0</v>
      </c>
      <c r="D72" s="4">
        <f>BalanceSheets!E35-BalanceSheets!D35</f>
        <v>0</v>
      </c>
      <c r="E72" s="4">
        <f>BalanceSheets!F35-BalanceSheets!E35</f>
        <v>500</v>
      </c>
      <c r="F72" s="4">
        <f>BalanceSheets!G35-BalanceSheets!F35</f>
        <v>0</v>
      </c>
      <c r="G72" s="4">
        <f>BalanceSheets!H35-BalanceSheets!G35</f>
        <v>0</v>
      </c>
      <c r="H72" s="4">
        <f>BalanceSheets!I35-BalanceSheets!H35</f>
        <v>0</v>
      </c>
      <c r="I72" s="4">
        <f>BalanceSheets!J35-BalanceSheets!I35</f>
        <v>0</v>
      </c>
      <c r="J72" s="4">
        <f>BalanceSheets!K35-BalanceSheets!J35</f>
        <v>0</v>
      </c>
      <c r="K72" s="4">
        <f>BalanceSheets!L35-BalanceSheets!K35</f>
        <v>0</v>
      </c>
      <c r="L72" s="4">
        <f>BalanceSheets!M35-BalanceSheets!L35</f>
        <v>0</v>
      </c>
      <c r="M72" s="4">
        <f>BalanceSheets!N35-BalanceSheets!M35</f>
        <v>0</v>
      </c>
      <c r="N72" s="4">
        <f>BalanceSheets!O35-BalanceSheets!N35</f>
        <v>0</v>
      </c>
      <c r="O72" s="4">
        <f>SUM(C72:N72)</f>
        <v>500</v>
      </c>
      <c r="P72" s="4">
        <f>BalanceSheets!P35-BalanceSheets!O35</f>
        <v>0</v>
      </c>
      <c r="Q72" s="4">
        <f>BalanceSheets!Q35-BalanceSheets!P35</f>
        <v>0</v>
      </c>
      <c r="R72" s="4">
        <f>BalanceSheets!R35-BalanceSheets!Q35</f>
        <v>0</v>
      </c>
      <c r="S72" s="4">
        <f>BalanceSheets!S35-BalanceSheets!R35</f>
        <v>0</v>
      </c>
      <c r="T72" s="4">
        <f>BalanceSheets!T35-BalanceSheets!S35</f>
        <v>0</v>
      </c>
      <c r="U72" s="4">
        <f>BalanceSheets!U35-BalanceSheets!T35</f>
        <v>0</v>
      </c>
      <c r="V72" s="4">
        <f>BalanceSheets!V35-BalanceSheets!U35</f>
        <v>0</v>
      </c>
      <c r="W72" s="4">
        <f>BalanceSheets!W35-BalanceSheets!V35</f>
        <v>0</v>
      </c>
      <c r="X72" s="4">
        <f>BalanceSheets!X35-BalanceSheets!W35</f>
        <v>0</v>
      </c>
      <c r="Y72" s="4">
        <f>BalanceSheets!Y35-BalanceSheets!X35</f>
        <v>0</v>
      </c>
      <c r="Z72" s="4">
        <f>BalanceSheets!Z35-BalanceSheets!Y35</f>
        <v>0</v>
      </c>
      <c r="AA72" s="4">
        <f>BalanceSheets!AA35-BalanceSheets!Z35</f>
        <v>0</v>
      </c>
      <c r="AB72" s="4">
        <f>SUM(P72:AA72)</f>
        <v>0</v>
      </c>
      <c r="AC72" s="4">
        <f>BalanceSheets!AB35-BalanceSheets!AA35</f>
        <v>0</v>
      </c>
      <c r="AD72" s="4">
        <f>BalanceSheets!AC35-BalanceSheets!AB35</f>
        <v>0</v>
      </c>
      <c r="AE72" s="4">
        <f>BalanceSheets!AD35-BalanceSheets!AC35</f>
        <v>0</v>
      </c>
      <c r="AF72" s="4">
        <f>BalanceSheets!AE35-BalanceSheets!AD35</f>
        <v>0</v>
      </c>
      <c r="AG72" s="4">
        <f>BalanceSheets!AF35-BalanceSheets!AE35</f>
        <v>0</v>
      </c>
      <c r="AH72" s="4">
        <f>BalanceSheets!AG35-BalanceSheets!AF35</f>
        <v>0</v>
      </c>
      <c r="AI72" s="4">
        <f>BalanceSheets!AH35-BalanceSheets!AG35</f>
        <v>0</v>
      </c>
      <c r="AJ72" s="4">
        <f>BalanceSheets!AI35-BalanceSheets!AH35</f>
        <v>0</v>
      </c>
      <c r="AK72" s="4">
        <f>BalanceSheets!AJ35-BalanceSheets!AI35</f>
        <v>0</v>
      </c>
      <c r="AL72" s="4">
        <f>BalanceSheets!AK35-BalanceSheets!AJ35</f>
        <v>0</v>
      </c>
      <c r="AM72" s="4">
        <f>BalanceSheets!AL35-BalanceSheets!AK35</f>
        <v>0</v>
      </c>
      <c r="AN72" s="4">
        <f>BalanceSheets!AM35-BalanceSheets!AL35</f>
        <v>0</v>
      </c>
      <c r="AO72" s="4">
        <f>SUM(AC72:AN72)</f>
        <v>0</v>
      </c>
    </row>
    <row r="73" spans="1:41" s="29" customFormat="1" ht="15" customHeight="1" x14ac:dyDescent="0.35">
      <c r="A73" s="36"/>
      <c r="B73" s="26" t="s">
        <v>100</v>
      </c>
      <c r="C73" s="4">
        <v>0</v>
      </c>
      <c r="D73" s="4">
        <v>0</v>
      </c>
      <c r="E73" s="4">
        <v>0</v>
      </c>
      <c r="F73" s="4">
        <v>0</v>
      </c>
      <c r="G73" s="4">
        <v>90000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f>SUM(C73:N73)</f>
        <v>90000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f>SUM(P73:AA73)</f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f>SUM(AC73:AN73)</f>
        <v>0</v>
      </c>
    </row>
    <row r="74" spans="1:41" s="29" customFormat="1" ht="15" customHeight="1" x14ac:dyDescent="0.3">
      <c r="A74" s="128"/>
      <c r="B74" s="26" t="s">
        <v>101</v>
      </c>
      <c r="C74" s="4">
        <f>BalanceSheets!D37-C73-BalanceSheets!C37</f>
        <v>-14205</v>
      </c>
      <c r="D74" s="25">
        <f>BalanceSheets!E37-D73-BalanceSheets!D37</f>
        <v>-14324</v>
      </c>
      <c r="E74" s="25">
        <f>BalanceSheets!F37-E73-BalanceSheets!E37</f>
        <v>-14442</v>
      </c>
      <c r="F74" s="25">
        <f>BalanceSheets!G37-F73-BalanceSheets!F37</f>
        <v>-14562</v>
      </c>
      <c r="G74" s="25">
        <f>BalanceSheets!H37-G73-BalanceSheets!G37</f>
        <v>-15848</v>
      </c>
      <c r="H74" s="25">
        <f>BalanceSheets!I37-H73-BalanceSheets!H37</f>
        <v>-15979</v>
      </c>
      <c r="I74" s="25">
        <f>BalanceSheets!J37-I73-BalanceSheets!I37</f>
        <v>-16112</v>
      </c>
      <c r="J74" s="25">
        <f>BalanceSheets!K37-J73-BalanceSheets!J37</f>
        <v>-16246</v>
      </c>
      <c r="K74" s="25">
        <f>BalanceSheets!L37-K73-BalanceSheets!K37</f>
        <v>-16382</v>
      </c>
      <c r="L74" s="25">
        <f>BalanceSheets!M37-L73-BalanceSheets!L37</f>
        <v>-16518</v>
      </c>
      <c r="M74" s="25">
        <f>BalanceSheets!N37-M73-BalanceSheets!M37</f>
        <v>-16656</v>
      </c>
      <c r="N74" s="25">
        <f>BalanceSheets!O37-N73-BalanceSheets!N37</f>
        <v>-16795</v>
      </c>
      <c r="O74" s="25">
        <f>SUM(C74:N74)</f>
        <v>-188069</v>
      </c>
      <c r="P74" s="25">
        <f>BalanceSheets!P37-P73-BalanceSheets!O37</f>
        <v>-16934</v>
      </c>
      <c r="Q74" s="25">
        <f>BalanceSheets!Q37-Q73-BalanceSheets!P37</f>
        <v>-17076</v>
      </c>
      <c r="R74" s="25">
        <f>BalanceSheets!R37-R73-BalanceSheets!Q37</f>
        <v>-17218</v>
      </c>
      <c r="S74" s="25">
        <f>BalanceSheets!S37-S73-BalanceSheets!R37</f>
        <v>41864</v>
      </c>
      <c r="T74" s="25">
        <f>BalanceSheets!T37-T73-BalanceSheets!S37</f>
        <v>-18287</v>
      </c>
      <c r="U74" s="25">
        <f>BalanceSheets!U37-U73-BalanceSheets!T37</f>
        <v>-18440</v>
      </c>
      <c r="V74" s="25">
        <f>BalanceSheets!V37-V73-BalanceSheets!U37</f>
        <v>-18594</v>
      </c>
      <c r="W74" s="25">
        <f>BalanceSheets!W37-W73-BalanceSheets!V37</f>
        <v>-18748</v>
      </c>
      <c r="X74" s="25">
        <f>BalanceSheets!X37-X73-BalanceSheets!W37</f>
        <v>-18905</v>
      </c>
      <c r="Y74" s="25">
        <f>BalanceSheets!Y37-Y73-BalanceSheets!X37</f>
        <v>-19062</v>
      </c>
      <c r="Z74" s="25">
        <f>BalanceSheets!Z37-Z73-BalanceSheets!Y37</f>
        <v>-19221</v>
      </c>
      <c r="AA74" s="25">
        <f>BalanceSheets!AA37-AA73-BalanceSheets!Z37</f>
        <v>-19381</v>
      </c>
      <c r="AB74" s="25">
        <f>SUM(P74:AA74)</f>
        <v>-160002</v>
      </c>
      <c r="AC74" s="25">
        <f>BalanceSheets!AB37-AC73-BalanceSheets!AA37</f>
        <v>-19543</v>
      </c>
      <c r="AD74" s="25">
        <f>BalanceSheets!AC37-AD73-BalanceSheets!AB37</f>
        <v>-19706</v>
      </c>
      <c r="AE74" s="25">
        <f>BalanceSheets!AD37-AE73-BalanceSheets!AC37</f>
        <v>-19869</v>
      </c>
      <c r="AF74" s="25">
        <f>BalanceSheets!AE37-AF73-BalanceSheets!AD37</f>
        <v>-20036</v>
      </c>
      <c r="AG74" s="25">
        <f>BalanceSheets!AF37-AG73-BalanceSheets!AE37</f>
        <v>58765</v>
      </c>
      <c r="AH74" s="25">
        <f>BalanceSheets!AG37-AH73-BalanceSheets!AF37</f>
        <v>-21413</v>
      </c>
      <c r="AI74" s="25">
        <f>BalanceSheets!AH37-AI73-BalanceSheets!AG37</f>
        <v>-21590</v>
      </c>
      <c r="AJ74" s="25">
        <f>BalanceSheets!AI37-AJ73-BalanceSheets!AH37</f>
        <v>-21771</v>
      </c>
      <c r="AK74" s="25">
        <f>BalanceSheets!AJ37-AK73-BalanceSheets!AI37</f>
        <v>-21952</v>
      </c>
      <c r="AL74" s="25">
        <f>BalanceSheets!AK37-AL73-BalanceSheets!AJ37</f>
        <v>-22136</v>
      </c>
      <c r="AM74" s="25">
        <f>BalanceSheets!AL37-AM73-BalanceSheets!AK37</f>
        <v>7293</v>
      </c>
      <c r="AN74" s="25">
        <f>BalanceSheets!AM37-AN73-BalanceSheets!AL37</f>
        <v>-22896</v>
      </c>
      <c r="AO74" s="25">
        <f>SUM(AC74:AN74)</f>
        <v>-144854</v>
      </c>
    </row>
    <row r="75" spans="1:41" s="12" customFormat="1" ht="15" customHeight="1" x14ac:dyDescent="0.35">
      <c r="A75" s="142"/>
      <c r="B75" s="97" t="s">
        <v>102</v>
      </c>
      <c r="C75" s="117">
        <f>SUM(C72:C74)</f>
        <v>-14205</v>
      </c>
      <c r="D75" s="117">
        <f t="shared" ref="D75:AO75" si="28">SUM(D72:D74)</f>
        <v>-14324</v>
      </c>
      <c r="E75" s="117">
        <f t="shared" si="28"/>
        <v>-13942</v>
      </c>
      <c r="F75" s="117">
        <f t="shared" si="28"/>
        <v>-14562</v>
      </c>
      <c r="G75" s="117">
        <f t="shared" si="28"/>
        <v>74152</v>
      </c>
      <c r="H75" s="117">
        <f t="shared" si="28"/>
        <v>-15979</v>
      </c>
      <c r="I75" s="117">
        <f t="shared" si="28"/>
        <v>-16112</v>
      </c>
      <c r="J75" s="117">
        <f t="shared" si="28"/>
        <v>-16246</v>
      </c>
      <c r="K75" s="117">
        <f t="shared" si="28"/>
        <v>-16382</v>
      </c>
      <c r="L75" s="117">
        <f t="shared" si="28"/>
        <v>-16518</v>
      </c>
      <c r="M75" s="117">
        <f t="shared" si="28"/>
        <v>-16656</v>
      </c>
      <c r="N75" s="117">
        <f t="shared" si="28"/>
        <v>-16795</v>
      </c>
      <c r="O75" s="117">
        <f t="shared" si="28"/>
        <v>-97569</v>
      </c>
      <c r="P75" s="117">
        <f t="shared" si="28"/>
        <v>-16934</v>
      </c>
      <c r="Q75" s="117">
        <f t="shared" si="28"/>
        <v>-17076</v>
      </c>
      <c r="R75" s="117">
        <f t="shared" si="28"/>
        <v>-17218</v>
      </c>
      <c r="S75" s="117">
        <f t="shared" si="28"/>
        <v>41864</v>
      </c>
      <c r="T75" s="117">
        <f t="shared" si="28"/>
        <v>-18287</v>
      </c>
      <c r="U75" s="117">
        <f t="shared" si="28"/>
        <v>-18440</v>
      </c>
      <c r="V75" s="117">
        <f t="shared" si="28"/>
        <v>-18594</v>
      </c>
      <c r="W75" s="117">
        <f t="shared" si="28"/>
        <v>-18748</v>
      </c>
      <c r="X75" s="117">
        <f t="shared" si="28"/>
        <v>-18905</v>
      </c>
      <c r="Y75" s="117">
        <f t="shared" si="28"/>
        <v>-19062</v>
      </c>
      <c r="Z75" s="117">
        <f t="shared" si="28"/>
        <v>-19221</v>
      </c>
      <c r="AA75" s="117">
        <f t="shared" si="28"/>
        <v>-19381</v>
      </c>
      <c r="AB75" s="117">
        <f t="shared" si="28"/>
        <v>-160002</v>
      </c>
      <c r="AC75" s="117">
        <f t="shared" si="28"/>
        <v>-19543</v>
      </c>
      <c r="AD75" s="117">
        <f t="shared" si="28"/>
        <v>-19706</v>
      </c>
      <c r="AE75" s="117">
        <f t="shared" si="28"/>
        <v>-19869</v>
      </c>
      <c r="AF75" s="117">
        <f t="shared" si="28"/>
        <v>-20036</v>
      </c>
      <c r="AG75" s="117">
        <f t="shared" si="28"/>
        <v>58765</v>
      </c>
      <c r="AH75" s="117">
        <f t="shared" si="28"/>
        <v>-21413</v>
      </c>
      <c r="AI75" s="117">
        <f t="shared" si="28"/>
        <v>-21590</v>
      </c>
      <c r="AJ75" s="117">
        <f t="shared" si="28"/>
        <v>-21771</v>
      </c>
      <c r="AK75" s="117">
        <f t="shared" si="28"/>
        <v>-21952</v>
      </c>
      <c r="AL75" s="117">
        <f t="shared" si="28"/>
        <v>-22136</v>
      </c>
      <c r="AM75" s="117">
        <f t="shared" si="28"/>
        <v>7293</v>
      </c>
      <c r="AN75" s="117">
        <f t="shared" si="28"/>
        <v>-22896</v>
      </c>
      <c r="AO75" s="117">
        <f t="shared" si="28"/>
        <v>-144854</v>
      </c>
    </row>
    <row r="76" spans="1:41" ht="15" customHeight="1" x14ac:dyDescent="0.3">
      <c r="C76" s="4"/>
      <c r="D76" s="4"/>
      <c r="E76" s="4"/>
      <c r="F76" s="4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 ht="15" customHeight="1" x14ac:dyDescent="0.3">
      <c r="B77" s="3" t="s">
        <v>103</v>
      </c>
      <c r="C77" s="4">
        <f ca="1">SUM(C65,C69,C75)</f>
        <v>-18122.400000000009</v>
      </c>
      <c r="D77" s="4">
        <f t="shared" ref="D77:AO77" ca="1" si="29">SUM(D65,D69,D75)</f>
        <v>-975.0060000000085</v>
      </c>
      <c r="E77" s="4">
        <f t="shared" ca="1" si="29"/>
        <v>28962.149999999994</v>
      </c>
      <c r="F77" s="4">
        <f t="shared" ca="1" si="29"/>
        <v>-53967.040000000008</v>
      </c>
      <c r="G77" s="4">
        <f t="shared" ca="1" si="29"/>
        <v>71809.415999999997</v>
      </c>
      <c r="H77" s="4">
        <f t="shared" ca="1" si="29"/>
        <v>-27267.5</v>
      </c>
      <c r="I77" s="4">
        <f t="shared" ca="1" si="29"/>
        <v>-16591.880000000005</v>
      </c>
      <c r="J77" s="4">
        <f t="shared" ca="1" si="29"/>
        <v>51463.55</v>
      </c>
      <c r="K77" s="4">
        <f t="shared" ca="1" si="29"/>
        <v>-29571.290000000008</v>
      </c>
      <c r="L77" s="4">
        <f t="shared" ca="1" si="29"/>
        <v>66617.141999999993</v>
      </c>
      <c r="M77" s="4">
        <f t="shared" ca="1" si="29"/>
        <v>75010.285000000003</v>
      </c>
      <c r="N77" s="4">
        <f t="shared" ca="1" si="29"/>
        <v>17832.899999999994</v>
      </c>
      <c r="O77" s="4">
        <f t="shared" ca="1" si="29"/>
        <v>165200.32699999993</v>
      </c>
      <c r="P77" s="4">
        <f t="shared" ca="1" si="29"/>
        <v>-91852.099999999991</v>
      </c>
      <c r="Q77" s="4">
        <f t="shared" ca="1" si="29"/>
        <v>89938.008000000002</v>
      </c>
      <c r="R77" s="4">
        <f t="shared" ca="1" si="29"/>
        <v>-29034.233999999997</v>
      </c>
      <c r="S77" s="4">
        <f t="shared" ca="1" si="29"/>
        <v>67162.932000000001</v>
      </c>
      <c r="T77" s="4">
        <f t="shared" ca="1" si="29"/>
        <v>85422.847999999998</v>
      </c>
      <c r="U77" s="4">
        <f t="shared" ca="1" si="29"/>
        <v>2874.1680000000051</v>
      </c>
      <c r="V77" s="4">
        <f t="shared" ca="1" si="29"/>
        <v>-6986.820000000007</v>
      </c>
      <c r="W77" s="4">
        <f t="shared" ca="1" si="29"/>
        <v>-44046.69</v>
      </c>
      <c r="X77" s="4">
        <f t="shared" ca="1" si="29"/>
        <v>22110.703999999998</v>
      </c>
      <c r="Y77" s="4">
        <f t="shared" ca="1" si="29"/>
        <v>-28719.699999999983</v>
      </c>
      <c r="Z77" s="4">
        <f t="shared" ca="1" si="29"/>
        <v>38046.986000000004</v>
      </c>
      <c r="AA77" s="4">
        <f t="shared" ca="1" si="29"/>
        <v>36425.288</v>
      </c>
      <c r="AB77" s="4">
        <f t="shared" ca="1" si="29"/>
        <v>141341.39000000001</v>
      </c>
      <c r="AC77" s="4">
        <f t="shared" ca="1" si="29"/>
        <v>23712.720000000001</v>
      </c>
      <c r="AD77" s="4">
        <f t="shared" ca="1" si="29"/>
        <v>-105039.76999999999</v>
      </c>
      <c r="AE77" s="4">
        <f t="shared" ca="1" si="29"/>
        <v>31003.850000000006</v>
      </c>
      <c r="AF77" s="4">
        <f t="shared" ca="1" si="29"/>
        <v>-3760.5480000000098</v>
      </c>
      <c r="AG77" s="4">
        <f t="shared" ca="1" si="29"/>
        <v>73239.407999999996</v>
      </c>
      <c r="AH77" s="4">
        <f t="shared" ca="1" si="29"/>
        <v>-23970.75999999998</v>
      </c>
      <c r="AI77" s="4">
        <f t="shared" ca="1" si="29"/>
        <v>-16471.559999999998</v>
      </c>
      <c r="AJ77" s="4">
        <f t="shared" ca="1" si="29"/>
        <v>98973.573000000004</v>
      </c>
      <c r="AK77" s="4">
        <f t="shared" ca="1" si="29"/>
        <v>-36630.549999999988</v>
      </c>
      <c r="AL77" s="4">
        <f t="shared" ca="1" si="29"/>
        <v>-65839</v>
      </c>
      <c r="AM77" s="4">
        <f t="shared" ca="1" si="29"/>
        <v>79614.599999999977</v>
      </c>
      <c r="AN77" s="4">
        <f t="shared" ca="1" si="29"/>
        <v>-44031.700000000012</v>
      </c>
      <c r="AO77" s="4">
        <f t="shared" ca="1" si="29"/>
        <v>10800.263000000035</v>
      </c>
    </row>
    <row r="78" spans="1:41" ht="15" customHeight="1" x14ac:dyDescent="0.3">
      <c r="C78" s="4"/>
      <c r="D78" s="4"/>
      <c r="E78" s="4"/>
      <c r="F78" s="4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1" ht="15" customHeight="1" x14ac:dyDescent="0.3">
      <c r="B79" s="3" t="s">
        <v>104</v>
      </c>
      <c r="C79" s="4">
        <f>BalanceSheets!C10</f>
        <v>21000</v>
      </c>
      <c r="D79" s="4">
        <f t="shared" ref="D79:N79" ca="1" si="30">C81</f>
        <v>2877.5999999999913</v>
      </c>
      <c r="E79" s="4">
        <f t="shared" ca="1" si="30"/>
        <v>1902.5939999999828</v>
      </c>
      <c r="F79" s="4">
        <f t="shared" ca="1" si="30"/>
        <v>30864.743999999977</v>
      </c>
      <c r="G79" s="4">
        <f t="shared" ca="1" si="30"/>
        <v>-23102.296000000031</v>
      </c>
      <c r="H79" s="4">
        <f t="shared" ca="1" si="30"/>
        <v>48707.119999999966</v>
      </c>
      <c r="I79" s="4">
        <f t="shared" ca="1" si="30"/>
        <v>21439.619999999966</v>
      </c>
      <c r="J79" s="4">
        <f t="shared" ca="1" si="30"/>
        <v>4847.7399999999616</v>
      </c>
      <c r="K79" s="4">
        <f t="shared" ca="1" si="30"/>
        <v>56311.289999999964</v>
      </c>
      <c r="L79" s="4">
        <f t="shared" ca="1" si="30"/>
        <v>26739.999999999956</v>
      </c>
      <c r="M79" s="4">
        <f t="shared" ca="1" si="30"/>
        <v>93357.141999999949</v>
      </c>
      <c r="N79" s="4">
        <f t="shared" ca="1" si="30"/>
        <v>168367.42699999997</v>
      </c>
      <c r="O79" s="4">
        <f>C79</f>
        <v>21000</v>
      </c>
      <c r="P79" s="4">
        <f t="shared" ref="P79:AA79" ca="1" si="31">O81</f>
        <v>186200.32699999993</v>
      </c>
      <c r="Q79" s="4">
        <f t="shared" ca="1" si="31"/>
        <v>94348.226999999941</v>
      </c>
      <c r="R79" s="4">
        <f t="shared" ca="1" si="31"/>
        <v>184286.23499999993</v>
      </c>
      <c r="S79" s="4">
        <f t="shared" ca="1" si="31"/>
        <v>155252.00099999993</v>
      </c>
      <c r="T79" s="4">
        <f t="shared" ca="1" si="31"/>
        <v>222414.93299999993</v>
      </c>
      <c r="U79" s="4">
        <f t="shared" ca="1" si="31"/>
        <v>307837.78099999996</v>
      </c>
      <c r="V79" s="4">
        <f t="shared" ca="1" si="31"/>
        <v>310711.94899999996</v>
      </c>
      <c r="W79" s="4">
        <f t="shared" ca="1" si="31"/>
        <v>303725.12899999996</v>
      </c>
      <c r="X79" s="4">
        <f t="shared" ca="1" si="31"/>
        <v>259678.43899999995</v>
      </c>
      <c r="Y79" s="4">
        <f t="shared" ca="1" si="31"/>
        <v>281789.14299999992</v>
      </c>
      <c r="Z79" s="4">
        <f t="shared" ca="1" si="31"/>
        <v>253069.44299999994</v>
      </c>
      <c r="AA79" s="4">
        <f t="shared" ca="1" si="31"/>
        <v>291116.42899999995</v>
      </c>
      <c r="AB79" s="4">
        <f ca="1">P79</f>
        <v>186200.32699999993</v>
      </c>
      <c r="AC79" s="4">
        <f t="shared" ref="AC79:AN79" ca="1" si="32">AB81</f>
        <v>327541.71699999995</v>
      </c>
      <c r="AD79" s="4">
        <f t="shared" ca="1" si="32"/>
        <v>351254.43699999992</v>
      </c>
      <c r="AE79" s="4">
        <f t="shared" ca="1" si="32"/>
        <v>246214.66699999993</v>
      </c>
      <c r="AF79" s="4">
        <f t="shared" ca="1" si="32"/>
        <v>277218.51699999993</v>
      </c>
      <c r="AG79" s="4">
        <f t="shared" ca="1" si="32"/>
        <v>273457.96899999992</v>
      </c>
      <c r="AH79" s="4">
        <f t="shared" ca="1" si="32"/>
        <v>346697.37699999992</v>
      </c>
      <c r="AI79" s="4">
        <f t="shared" ca="1" si="32"/>
        <v>322726.61699999997</v>
      </c>
      <c r="AJ79" s="4">
        <f t="shared" ca="1" si="32"/>
        <v>306255.05699999997</v>
      </c>
      <c r="AK79" s="4">
        <f t="shared" ca="1" si="32"/>
        <v>405228.63</v>
      </c>
      <c r="AL79" s="4">
        <f t="shared" ca="1" si="32"/>
        <v>368598.08</v>
      </c>
      <c r="AM79" s="4">
        <f t="shared" ca="1" si="32"/>
        <v>302759.08</v>
      </c>
      <c r="AN79" s="4">
        <f t="shared" ca="1" si="32"/>
        <v>382373.68</v>
      </c>
      <c r="AO79" s="4">
        <f ca="1">AC79</f>
        <v>327541.71699999995</v>
      </c>
    </row>
    <row r="80" spans="1:41" ht="15" customHeight="1" x14ac:dyDescent="0.3">
      <c r="C80" s="4"/>
      <c r="D80" s="4"/>
      <c r="E80" s="4"/>
      <c r="F80" s="4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</row>
    <row r="81" spans="2:41" s="47" customFormat="1" ht="15" customHeight="1" thickBot="1" x14ac:dyDescent="0.4">
      <c r="B81" s="43" t="s">
        <v>105</v>
      </c>
      <c r="C81" s="60">
        <f t="shared" ref="C81:AO81" ca="1" si="33">SUM(C77,C79)</f>
        <v>2877.5999999999913</v>
      </c>
      <c r="D81" s="60">
        <f t="shared" ca="1" si="33"/>
        <v>1902.5939999999828</v>
      </c>
      <c r="E81" s="60">
        <f t="shared" ca="1" si="33"/>
        <v>30864.743999999977</v>
      </c>
      <c r="F81" s="60">
        <f t="shared" ca="1" si="33"/>
        <v>-23102.296000000031</v>
      </c>
      <c r="G81" s="60">
        <f t="shared" ca="1" si="33"/>
        <v>48707.119999999966</v>
      </c>
      <c r="H81" s="60">
        <f t="shared" ca="1" si="33"/>
        <v>21439.619999999966</v>
      </c>
      <c r="I81" s="60">
        <f t="shared" ca="1" si="33"/>
        <v>4847.7399999999616</v>
      </c>
      <c r="J81" s="60">
        <f t="shared" ca="1" si="33"/>
        <v>56311.289999999964</v>
      </c>
      <c r="K81" s="60">
        <f t="shared" ca="1" si="33"/>
        <v>26739.999999999956</v>
      </c>
      <c r="L81" s="60">
        <f t="shared" ca="1" si="33"/>
        <v>93357.141999999949</v>
      </c>
      <c r="M81" s="60">
        <f t="shared" ca="1" si="33"/>
        <v>168367.42699999997</v>
      </c>
      <c r="N81" s="60">
        <f t="shared" ca="1" si="33"/>
        <v>186200.32699999996</v>
      </c>
      <c r="O81" s="60">
        <f t="shared" ca="1" si="33"/>
        <v>186200.32699999993</v>
      </c>
      <c r="P81" s="60">
        <f t="shared" ca="1" si="33"/>
        <v>94348.226999999941</v>
      </c>
      <c r="Q81" s="60">
        <f t="shared" ca="1" si="33"/>
        <v>184286.23499999993</v>
      </c>
      <c r="R81" s="60">
        <f t="shared" ca="1" si="33"/>
        <v>155252.00099999993</v>
      </c>
      <c r="S81" s="60">
        <f t="shared" ca="1" si="33"/>
        <v>222414.93299999993</v>
      </c>
      <c r="T81" s="60">
        <f t="shared" ca="1" si="33"/>
        <v>307837.78099999996</v>
      </c>
      <c r="U81" s="60">
        <f t="shared" ca="1" si="33"/>
        <v>310711.94899999996</v>
      </c>
      <c r="V81" s="60">
        <f t="shared" ca="1" si="33"/>
        <v>303725.12899999996</v>
      </c>
      <c r="W81" s="60">
        <f t="shared" ca="1" si="33"/>
        <v>259678.43899999995</v>
      </c>
      <c r="X81" s="60">
        <f t="shared" ca="1" si="33"/>
        <v>281789.14299999992</v>
      </c>
      <c r="Y81" s="60">
        <f t="shared" ca="1" si="33"/>
        <v>253069.44299999994</v>
      </c>
      <c r="Z81" s="60">
        <f t="shared" ca="1" si="33"/>
        <v>291116.42899999995</v>
      </c>
      <c r="AA81" s="60">
        <f t="shared" ca="1" si="33"/>
        <v>327541.71699999995</v>
      </c>
      <c r="AB81" s="60">
        <f t="shared" ca="1" si="33"/>
        <v>327541.71699999995</v>
      </c>
      <c r="AC81" s="60">
        <f t="shared" ca="1" si="33"/>
        <v>351254.43699999992</v>
      </c>
      <c r="AD81" s="60">
        <f t="shared" ca="1" si="33"/>
        <v>246214.66699999993</v>
      </c>
      <c r="AE81" s="60">
        <f t="shared" ca="1" si="33"/>
        <v>277218.51699999993</v>
      </c>
      <c r="AF81" s="60">
        <f t="shared" ca="1" si="33"/>
        <v>273457.96899999992</v>
      </c>
      <c r="AG81" s="60">
        <f t="shared" ca="1" si="33"/>
        <v>346697.37699999992</v>
      </c>
      <c r="AH81" s="60">
        <f t="shared" ca="1" si="33"/>
        <v>322726.61699999997</v>
      </c>
      <c r="AI81" s="60">
        <f t="shared" ca="1" si="33"/>
        <v>306255.05699999997</v>
      </c>
      <c r="AJ81" s="60">
        <f t="shared" ca="1" si="33"/>
        <v>405228.63</v>
      </c>
      <c r="AK81" s="60">
        <f t="shared" ca="1" si="33"/>
        <v>368598.08</v>
      </c>
      <c r="AL81" s="60">
        <f t="shared" ca="1" si="33"/>
        <v>302759.08</v>
      </c>
      <c r="AM81" s="60">
        <f t="shared" ca="1" si="33"/>
        <v>382373.68</v>
      </c>
      <c r="AN81" s="60">
        <f t="shared" ca="1" si="33"/>
        <v>338341.98</v>
      </c>
      <c r="AO81" s="60">
        <f t="shared" ca="1" si="33"/>
        <v>338341.98</v>
      </c>
    </row>
    <row r="82" spans="2:41" ht="15" customHeight="1" thickTop="1" x14ac:dyDescent="0.3"/>
    <row r="84" spans="2:41" ht="15" customHeight="1" x14ac:dyDescent="0.3"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</row>
    <row r="85" spans="2:41" ht="15" customHeight="1" x14ac:dyDescent="0.3">
      <c r="G85" s="29"/>
      <c r="H85" s="29"/>
      <c r="I85" s="29"/>
      <c r="J85" s="29"/>
      <c r="K85" s="29"/>
      <c r="L85" s="29"/>
      <c r="M85" s="29"/>
      <c r="N85" s="29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</row>
    <row r="86" spans="2:41" ht="15" customHeight="1" x14ac:dyDescent="0.3"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</row>
    <row r="87" spans="2:41" ht="15" customHeight="1" x14ac:dyDescent="0.3"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</row>
    <row r="88" spans="2:41" s="15" customFormat="1" ht="15" customHeight="1" x14ac:dyDescent="0.3">
      <c r="B88" s="61"/>
    </row>
    <row r="93" spans="2:41" s="15" customFormat="1" ht="15" customHeight="1" x14ac:dyDescent="0.3">
      <c r="B93" s="61"/>
    </row>
    <row r="94" spans="2:41" s="15" customFormat="1" ht="15" customHeight="1" x14ac:dyDescent="0.3">
      <c r="B94" s="61"/>
    </row>
    <row r="109" spans="2:2" s="15" customFormat="1" ht="15" customHeight="1" x14ac:dyDescent="0.3">
      <c r="B109" s="61"/>
    </row>
  </sheetData>
  <phoneticPr fontId="3" type="noConversion"/>
  <pageMargins left="0.55118110236220474" right="0.55118110236220474" top="0.59055118110236227" bottom="0.59055118110236227" header="0.39370078740157483" footer="0.39370078740157483"/>
  <pageSetup paperSize="9" scale="65" fitToWidth="3" orientation="landscape" r:id="rId1"/>
  <headerFooter alignWithMargins="0">
    <oddFooter>&amp;C&amp;9Page &amp;P of &amp;N</oddFooter>
  </headerFooter>
  <rowBreaks count="1" manualBreakCount="1">
    <brk id="47" min="1" max="40" man="1"/>
  </rowBreaks>
  <colBreaks count="2" manualBreakCount="2">
    <brk id="15" max="58" man="1"/>
    <brk id="28" max="58" man="1"/>
  </colBreaks>
  <ignoredErrors>
    <ignoredError sqref="O53:O57 AB53:AB55 AB57 O62:O64 AB62:AB64 AO62 O79 AB79 O7 O9 AB7 AB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6"/>
  <sheetViews>
    <sheetView zoomScale="95" zoomScaleNormal="95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defaultColWidth="9.1328125" defaultRowHeight="15" customHeight="1" x14ac:dyDescent="0.3"/>
  <cols>
    <col min="1" max="1" width="3.73046875" style="5" customWidth="1"/>
    <col min="2" max="2" width="33.73046875" style="3" customWidth="1"/>
    <col min="3" max="7" width="13.73046875" style="29" customWidth="1"/>
    <col min="8" max="39" width="13.73046875" style="5" customWidth="1"/>
    <col min="40" max="74" width="9.1328125" style="5" customWidth="1"/>
    <col min="75" max="16384" width="9.1328125" style="5"/>
  </cols>
  <sheetData>
    <row r="1" spans="2:39" x14ac:dyDescent="0.4">
      <c r="B1" s="1" t="str">
        <f>Assumptions!$B$4</f>
        <v>Example Trading Limited</v>
      </c>
      <c r="C1" s="16"/>
      <c r="O1" s="119"/>
      <c r="AA1" s="119"/>
      <c r="AM1" s="119"/>
    </row>
    <row r="2" spans="2:39" ht="15" customHeight="1" x14ac:dyDescent="0.35">
      <c r="B2" s="11" t="s">
        <v>108</v>
      </c>
      <c r="C2" s="16"/>
      <c r="O2" s="119"/>
      <c r="AA2" s="119"/>
      <c r="AM2" s="119"/>
    </row>
    <row r="3" spans="2:39" ht="15" customHeight="1" x14ac:dyDescent="0.3">
      <c r="B3" s="44" t="s">
        <v>76</v>
      </c>
    </row>
    <row r="4" spans="2:39" s="121" customFormat="1" ht="18" customHeight="1" x14ac:dyDescent="0.35">
      <c r="B4" s="120"/>
      <c r="C4" s="53">
        <f ca="1">IF(ISBLANK(Assumptions!$B$5)=TRUE,DATE(YEAR(TODAY()),MONTH(TODAY()),0),DATE(YEAR(Assumptions!$B$5),MONTH(Assumptions!$B$5),0))</f>
        <v>42429</v>
      </c>
      <c r="D4" s="53">
        <f ca="1">IF(ISBLANK(Assumptions!$B$5)=TRUE,DATE(YEAR(TODAY()),MONTH(TODAY())+1,0),DATE(YEAR(Assumptions!$B$5),MONTH(Assumptions!$B$5)+1,0))</f>
        <v>42460</v>
      </c>
      <c r="E4" s="53">
        <f ca="1">DATE(YEAR(D4),MONTH(D4)+2,0)</f>
        <v>42490</v>
      </c>
      <c r="F4" s="53">
        <f t="shared" ref="F4:N4" ca="1" si="0">DATE(YEAR(E4),MONTH(E4)+2,0)</f>
        <v>42521</v>
      </c>
      <c r="G4" s="53">
        <f t="shared" ca="1" si="0"/>
        <v>42551</v>
      </c>
      <c r="H4" s="53">
        <f t="shared" ca="1" si="0"/>
        <v>42582</v>
      </c>
      <c r="I4" s="53">
        <f t="shared" ca="1" si="0"/>
        <v>42613</v>
      </c>
      <c r="J4" s="53">
        <f t="shared" ca="1" si="0"/>
        <v>42643</v>
      </c>
      <c r="K4" s="53">
        <f t="shared" ca="1" si="0"/>
        <v>42674</v>
      </c>
      <c r="L4" s="53">
        <f t="shared" ca="1" si="0"/>
        <v>42704</v>
      </c>
      <c r="M4" s="53">
        <f t="shared" ca="1" si="0"/>
        <v>42735</v>
      </c>
      <c r="N4" s="53">
        <f t="shared" ca="1" si="0"/>
        <v>42766</v>
      </c>
      <c r="O4" s="53">
        <f ca="1">DATE(YEAR(N4),MONTH(N4)+2,0)</f>
        <v>42794</v>
      </c>
      <c r="P4" s="53">
        <f ca="1">DATE(YEAR(O4),MONTH(O4)+2,0)</f>
        <v>42825</v>
      </c>
      <c r="Q4" s="53">
        <f t="shared" ref="Q4:AA4" ca="1" si="1">DATE(YEAR(P4),MONTH(P4)+2,0)</f>
        <v>42855</v>
      </c>
      <c r="R4" s="53">
        <f t="shared" ca="1" si="1"/>
        <v>42886</v>
      </c>
      <c r="S4" s="53">
        <f t="shared" ca="1" si="1"/>
        <v>42916</v>
      </c>
      <c r="T4" s="53">
        <f t="shared" ca="1" si="1"/>
        <v>42947</v>
      </c>
      <c r="U4" s="53">
        <f t="shared" ca="1" si="1"/>
        <v>42978</v>
      </c>
      <c r="V4" s="53">
        <f t="shared" ca="1" si="1"/>
        <v>43008</v>
      </c>
      <c r="W4" s="53">
        <f t="shared" ca="1" si="1"/>
        <v>43039</v>
      </c>
      <c r="X4" s="53">
        <f t="shared" ca="1" si="1"/>
        <v>43069</v>
      </c>
      <c r="Y4" s="53">
        <f t="shared" ca="1" si="1"/>
        <v>43100</v>
      </c>
      <c r="Z4" s="53">
        <f t="shared" ca="1" si="1"/>
        <v>43131</v>
      </c>
      <c r="AA4" s="53">
        <f t="shared" ca="1" si="1"/>
        <v>43159</v>
      </c>
      <c r="AB4" s="53">
        <f ca="1">DATE(YEAR(AA4),MONTH(AA4)+2,0)</f>
        <v>43190</v>
      </c>
      <c r="AC4" s="53">
        <f t="shared" ref="AC4:AM4" ca="1" si="2">DATE(YEAR(AB4),MONTH(AB4)+2,0)</f>
        <v>43220</v>
      </c>
      <c r="AD4" s="53">
        <f t="shared" ca="1" si="2"/>
        <v>43251</v>
      </c>
      <c r="AE4" s="53">
        <f t="shared" ca="1" si="2"/>
        <v>43281</v>
      </c>
      <c r="AF4" s="53">
        <f t="shared" ca="1" si="2"/>
        <v>43312</v>
      </c>
      <c r="AG4" s="53">
        <f t="shared" ca="1" si="2"/>
        <v>43343</v>
      </c>
      <c r="AH4" s="53">
        <f t="shared" ca="1" si="2"/>
        <v>43373</v>
      </c>
      <c r="AI4" s="53">
        <f t="shared" ca="1" si="2"/>
        <v>43404</v>
      </c>
      <c r="AJ4" s="53">
        <f t="shared" ca="1" si="2"/>
        <v>43434</v>
      </c>
      <c r="AK4" s="53">
        <f t="shared" ca="1" si="2"/>
        <v>43465</v>
      </c>
      <c r="AL4" s="53">
        <f t="shared" ca="1" si="2"/>
        <v>43496</v>
      </c>
      <c r="AM4" s="53">
        <f t="shared" ca="1" si="2"/>
        <v>43524</v>
      </c>
    </row>
    <row r="5" spans="2:39" s="47" customFormat="1" ht="15" customHeight="1" x14ac:dyDescent="0.35">
      <c r="B5" s="43" t="s">
        <v>37</v>
      </c>
      <c r="C5" s="57"/>
      <c r="D5" s="56"/>
      <c r="E5" s="57"/>
      <c r="F5" s="57"/>
      <c r="G5" s="57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</row>
    <row r="6" spans="2:39" ht="15" customHeight="1" x14ac:dyDescent="0.3">
      <c r="B6" s="3" t="s">
        <v>65</v>
      </c>
      <c r="C6" s="4">
        <f>Assumptions!$B$17</f>
        <v>800000</v>
      </c>
      <c r="D6" s="4">
        <f>C6-Forecast!C68-Forecast!C38</f>
        <v>786666.66666666663</v>
      </c>
      <c r="E6" s="4">
        <f>D6-Forecast!D68-Forecast!D38</f>
        <v>773333.33333333326</v>
      </c>
      <c r="F6" s="4">
        <f>E6-Forecast!E68-Forecast!E38</f>
        <v>809166.66666666663</v>
      </c>
      <c r="G6" s="4">
        <f>F6-Forecast!F68-Forecast!F38</f>
        <v>795000</v>
      </c>
      <c r="H6" s="4">
        <f>G6-Forecast!G68-Forecast!G38</f>
        <v>780833.33333333337</v>
      </c>
      <c r="I6" s="4">
        <f>H6-Forecast!H68-Forecast!H38</f>
        <v>840416.66666666674</v>
      </c>
      <c r="J6" s="4">
        <f>I6-Forecast!I68-Forecast!I38</f>
        <v>825000.00000000012</v>
      </c>
      <c r="K6" s="4">
        <f>J6-Forecast!J68-Forecast!J38</f>
        <v>809583.33333333349</v>
      </c>
      <c r="L6" s="4">
        <f>K6-Forecast!K68-Forecast!K38</f>
        <v>794166.66666666686</v>
      </c>
      <c r="M6" s="4">
        <f>L6-Forecast!L68-Forecast!L38</f>
        <v>778750.00000000023</v>
      </c>
      <c r="N6" s="4">
        <f>M6-Forecast!M68-Forecast!M38</f>
        <v>763333.3333333336</v>
      </c>
      <c r="O6" s="4">
        <f>N6-Forecast!N68-Forecast!N38</f>
        <v>747916.66666666698</v>
      </c>
      <c r="P6" s="4">
        <f>O6-Forecast!P68-Forecast!P38</f>
        <v>809201.38888888923</v>
      </c>
      <c r="Q6" s="4">
        <f>P6-Forecast!Q68-Forecast!Q38</f>
        <v>795486.11111111147</v>
      </c>
      <c r="R6" s="4">
        <f>Q6-Forecast!R68-Forecast!R38</f>
        <v>781770.83333333372</v>
      </c>
      <c r="S6" s="4">
        <f>R6-Forecast!S68-Forecast!S38</f>
        <v>768055.55555555597</v>
      </c>
      <c r="T6" s="4">
        <f>S6-Forecast!T68-Forecast!T38</f>
        <v>754340.27777777822</v>
      </c>
      <c r="U6" s="4">
        <f>T6-Forecast!U68-Forecast!U38</f>
        <v>740625.00000000047</v>
      </c>
      <c r="V6" s="4">
        <f>U6-Forecast!V68-Forecast!V38</f>
        <v>726909.72222222271</v>
      </c>
      <c r="W6" s="4">
        <f>V6-Forecast!W68-Forecast!W38</f>
        <v>742694.44444444496</v>
      </c>
      <c r="X6" s="4">
        <f>W6-Forecast!X68-Forecast!X38</f>
        <v>728479.16666666721</v>
      </c>
      <c r="Y6" s="4">
        <f>X6-Forecast!Y68-Forecast!Y38</f>
        <v>714263.88888888946</v>
      </c>
      <c r="Z6" s="4">
        <f>Y6-Forecast!Z68-Forecast!Z38</f>
        <v>700048.61111111171</v>
      </c>
      <c r="AA6" s="4">
        <f>Z6-Forecast!AA68-Forecast!AA38</f>
        <v>685833.33333333395</v>
      </c>
      <c r="AB6" s="4">
        <f>AA6-Forecast!AC68-Forecast!AC38</f>
        <v>674402.77777777833</v>
      </c>
      <c r="AC6" s="4">
        <f>AB6-Forecast!AD68-Forecast!AD38</f>
        <v>743605.55555555609</v>
      </c>
      <c r="AD6" s="4">
        <f>AC6-Forecast!AE68-Forecast!AE38</f>
        <v>730808.33333333384</v>
      </c>
      <c r="AE6" s="4">
        <f>AD6-Forecast!AF68-Forecast!AF38</f>
        <v>718011.11111111159</v>
      </c>
      <c r="AF6" s="4">
        <f>AE6-Forecast!AG68-Forecast!AG38</f>
        <v>705213.88888888934</v>
      </c>
      <c r="AG6" s="4">
        <f>AF6-Forecast!AH68-Forecast!AH38</f>
        <v>692416.66666666709</v>
      </c>
      <c r="AH6" s="4">
        <f>AG6-Forecast!AI68-Forecast!AI38</f>
        <v>679619.44444444485</v>
      </c>
      <c r="AI6" s="4">
        <f>AH6-Forecast!AJ68-Forecast!AJ38</f>
        <v>666822.2222222226</v>
      </c>
      <c r="AJ6" s="4">
        <f>AI6-Forecast!AK68-Forecast!AK38</f>
        <v>654025.00000000035</v>
      </c>
      <c r="AK6" s="4">
        <f>AJ6-Forecast!AL68-Forecast!AL38</f>
        <v>734644.44444444473</v>
      </c>
      <c r="AL6" s="4">
        <f>AK6-Forecast!AM68-Forecast!AM38</f>
        <v>720263.88888888911</v>
      </c>
      <c r="AM6" s="4">
        <f>AL6-Forecast!AN68-Forecast!AN38</f>
        <v>705883.33333333349</v>
      </c>
    </row>
    <row r="7" spans="2:39" ht="15" customHeight="1" x14ac:dyDescent="0.35">
      <c r="B7" s="2" t="s">
        <v>38</v>
      </c>
      <c r="C7" s="4"/>
      <c r="D7" s="4"/>
      <c r="E7" s="4"/>
      <c r="F7" s="4"/>
      <c r="G7" s="4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39" ht="15" customHeight="1" x14ac:dyDescent="0.3">
      <c r="B8" s="41" t="s">
        <v>27</v>
      </c>
      <c r="C8" s="4">
        <f>Assumptions!$B$18</f>
        <v>140000</v>
      </c>
      <c r="D8" s="4">
        <f ca="1">Forecast!C$7/D21*Assumptions!$B$13</f>
        <v>157258.06451612903</v>
      </c>
      <c r="E8" s="4">
        <f ca="1">Forecast!D$7/E21*Assumptions!$B$13</f>
        <v>181333.33333333331</v>
      </c>
      <c r="F8" s="4">
        <f ca="1">Forecast!E$7/F21*Assumptions!$B$13</f>
        <v>167741.93548387097</v>
      </c>
      <c r="G8" s="4">
        <f ca="1">Forecast!F$7/G21*Assumptions!$B$13</f>
        <v>171200</v>
      </c>
      <c r="H8" s="4">
        <f ca="1">Forecast!G$7/H21*Assumptions!$B$13</f>
        <v>154959.67741935482</v>
      </c>
      <c r="I8" s="4">
        <f ca="1">Forecast!H$7/I21*Assumptions!$B$13</f>
        <v>162580.6451612903</v>
      </c>
      <c r="J8" s="4">
        <f ca="1">Forecast!I$7/J21*Assumptions!$B$13</f>
        <v>165375</v>
      </c>
      <c r="K8" s="4">
        <f ca="1">Forecast!J$7/K21*Assumptions!$B$13</f>
        <v>152419.3548387097</v>
      </c>
      <c r="L8" s="4">
        <f ca="1">Forecast!K$7/L21*Assumptions!$B$13</f>
        <v>168000</v>
      </c>
      <c r="M8" s="4">
        <f ca="1">Forecast!L$7/M21*Assumptions!$B$13</f>
        <v>167661.29032258064</v>
      </c>
      <c r="N8" s="4">
        <f ca="1">Forecast!M$7/N21*Assumptions!$B$13</f>
        <v>166645.16129032258</v>
      </c>
      <c r="O8" s="4">
        <f ca="1">Forecast!N$7/O21*Assumptions!$B$13</f>
        <v>174375</v>
      </c>
      <c r="P8" s="4">
        <f ca="1">Forecast!P$7/P21*Assumptions!$B$13</f>
        <v>177822.5806451613</v>
      </c>
      <c r="Q8" s="4">
        <f ca="1">Forecast!Q$7/Q21*Assumptions!$B$13</f>
        <v>168000</v>
      </c>
      <c r="R8" s="4">
        <f ca="1">Forecast!R$7/R21*Assumptions!$B$13</f>
        <v>175282.25806451612</v>
      </c>
      <c r="S8" s="4">
        <f ca="1">Forecast!S$7/S21*Assumptions!$B$13</f>
        <v>185850</v>
      </c>
      <c r="T8" s="4">
        <f ca="1">Forecast!T$7/T21*Assumptions!$B$13</f>
        <v>176298.38709677418</v>
      </c>
      <c r="U8" s="4">
        <f ca="1">Forecast!U$7/U21*Assumptions!$B$13</f>
        <v>155000</v>
      </c>
      <c r="V8" s="4">
        <f ca="1">Forecast!V$7/V21*Assumptions!$B$13</f>
        <v>162750</v>
      </c>
      <c r="W8" s="4">
        <f ca="1">Forecast!W$7/W21*Assumptions!$B$13</f>
        <v>175000</v>
      </c>
      <c r="X8" s="4">
        <f ca="1">Forecast!X$7/X21*Assumptions!$B$13</f>
        <v>174633.33333333331</v>
      </c>
      <c r="Y8" s="4">
        <f ca="1">Forecast!Y$7/Y21*Assumptions!$B$13</f>
        <v>181000</v>
      </c>
      <c r="Z8" s="4">
        <f ca="1">Forecast!Z$7/Z21*Assumptions!$B$13</f>
        <v>178500</v>
      </c>
      <c r="AA8" s="4">
        <f ca="1">Forecast!AA$7/AA21*Assumptions!$B$13</f>
        <v>192258.92857142858</v>
      </c>
      <c r="AB8" s="4">
        <f ca="1">Forecast!AC$7/AB21*Assumptions!$B$13</f>
        <v>175161.29032258064</v>
      </c>
      <c r="AC8" s="4">
        <f ca="1">Forecast!AD$7/AC21*Assumptions!$B$13</f>
        <v>184000</v>
      </c>
      <c r="AD8" s="4">
        <f ca="1">Forecast!AE$7/AD21*Assumptions!$B$13</f>
        <v>168870.96774193548</v>
      </c>
      <c r="AE8" s="4">
        <f ca="1">Forecast!AF$7/AE21*Assumptions!$B$13</f>
        <v>185000</v>
      </c>
      <c r="AF8" s="4">
        <f ca="1">Forecast!AG$7/AF21*Assumptions!$B$13</f>
        <v>176129.03225806452</v>
      </c>
      <c r="AG8" s="4">
        <f ca="1">Forecast!AH$7/AG21*Assumptions!$B$13</f>
        <v>184354.83870967742</v>
      </c>
      <c r="AH8" s="4">
        <f ca="1">Forecast!AI$7/AH21*Assumptions!$B$13</f>
        <v>194500</v>
      </c>
      <c r="AI8" s="4">
        <f ca="1">Forecast!AJ$7/AI21*Assumptions!$B$13</f>
        <v>180000</v>
      </c>
      <c r="AJ8" s="4">
        <f ca="1">Forecast!AK$7/AJ21*Assumptions!$B$13</f>
        <v>190000</v>
      </c>
      <c r="AK8" s="4">
        <f ca="1">Forecast!AL$7/AK21*Assumptions!$B$13</f>
        <v>186290.32258064518</v>
      </c>
      <c r="AL8" s="4">
        <f ca="1">Forecast!AM$7/AL21*Assumptions!$B$13</f>
        <v>180967.74193548388</v>
      </c>
      <c r="AM8" s="4">
        <f ca="1">Forecast!AN$7/AM21*Assumptions!$B$13</f>
        <v>208928.57142857142</v>
      </c>
    </row>
    <row r="9" spans="2:39" ht="15" customHeight="1" x14ac:dyDescent="0.3">
      <c r="B9" s="41" t="s">
        <v>89</v>
      </c>
      <c r="C9" s="4">
        <f>Assumptions!$B$19</f>
        <v>250000</v>
      </c>
      <c r="D9" s="4">
        <f ca="1">Forecast!C$5/D21*Assumptions!$B$14</f>
        <v>290322.58064516133</v>
      </c>
      <c r="E9" s="4">
        <f ca="1">Forecast!D$5/E21*Assumptions!$B$14</f>
        <v>340000</v>
      </c>
      <c r="F9" s="4">
        <f ca="1">Forecast!E$5/F21*Assumptions!$B$14</f>
        <v>309677.41935483867</v>
      </c>
      <c r="G9" s="4">
        <f ca="1">Forecast!F$5/G21*Assumptions!$B$14</f>
        <v>321000</v>
      </c>
      <c r="H9" s="4">
        <f ca="1">Forecast!G$5/H21*Assumptions!$B$14</f>
        <v>295161.29032258061</v>
      </c>
      <c r="I9" s="4">
        <f ca="1">Forecast!H$5/I21*Assumptions!$B$14</f>
        <v>309677.41935483867</v>
      </c>
      <c r="J9" s="4">
        <f ca="1">Forecast!I$5/J21*Assumptions!$B$14</f>
        <v>315000</v>
      </c>
      <c r="K9" s="4">
        <f ca="1">Forecast!J$5/K21*Assumptions!$B$14</f>
        <v>290322.58064516133</v>
      </c>
      <c r="L9" s="4">
        <f ca="1">Forecast!K$5/L21*Assumptions!$B$14</f>
        <v>320000</v>
      </c>
      <c r="M9" s="4">
        <f ca="1">Forecast!L$5/M21*Assumptions!$B$14</f>
        <v>319354.83870967745</v>
      </c>
      <c r="N9" s="4">
        <f ca="1">Forecast!M$5/N21*Assumptions!$B$14</f>
        <v>317419.35483870964</v>
      </c>
      <c r="O9" s="4">
        <f ca="1">Forecast!N$5/O21*Assumptions!$B$14</f>
        <v>332142.8571428571</v>
      </c>
      <c r="P9" s="4">
        <f ca="1">Forecast!P$5/P21*Assumptions!$B$14</f>
        <v>338709.67741935485</v>
      </c>
      <c r="Q9" s="4">
        <f ca="1">Forecast!Q$5/Q21*Assumptions!$B$14</f>
        <v>320000</v>
      </c>
      <c r="R9" s="4">
        <f ca="1">Forecast!R$5/R21*Assumptions!$B$14</f>
        <v>333870.96774193551</v>
      </c>
      <c r="S9" s="4">
        <f ca="1">Forecast!S$5/S21*Assumptions!$B$14</f>
        <v>354000</v>
      </c>
      <c r="T9" s="4">
        <f ca="1">Forecast!T$5/T21*Assumptions!$B$14</f>
        <v>335806.45161290321</v>
      </c>
      <c r="U9" s="4">
        <f ca="1">Forecast!U$5/U21*Assumptions!$B$14</f>
        <v>300000</v>
      </c>
      <c r="V9" s="4">
        <f ca="1">Forecast!V$5/V21*Assumptions!$B$14</f>
        <v>315000</v>
      </c>
      <c r="W9" s="4">
        <f ca="1">Forecast!W$5/W21*Assumptions!$B$14</f>
        <v>338709.67741935485</v>
      </c>
      <c r="X9" s="4">
        <f ca="1">Forecast!X$5/X21*Assumptions!$B$14</f>
        <v>338000</v>
      </c>
      <c r="Y9" s="4">
        <f ca="1">Forecast!Y$5/Y21*Assumptions!$B$14</f>
        <v>350322.58064516133</v>
      </c>
      <c r="Z9" s="4">
        <f ca="1">Forecast!Z$5/Z21*Assumptions!$B$14</f>
        <v>345483.87096774194</v>
      </c>
      <c r="AA9" s="4">
        <f ca="1">Forecast!AA$5/AA21*Assumptions!$B$14</f>
        <v>378214.28571428568</v>
      </c>
      <c r="AB9" s="4">
        <f ca="1">Forecast!AC$5/AB21*Assumptions!$B$14</f>
        <v>350322.58064516133</v>
      </c>
      <c r="AC9" s="4">
        <f ca="1">Forecast!AD$5/AC21*Assumptions!$B$14</f>
        <v>368000</v>
      </c>
      <c r="AD9" s="4">
        <f ca="1">Forecast!AE$5/AD21*Assumptions!$B$14</f>
        <v>337741.93548387097</v>
      </c>
      <c r="AE9" s="4">
        <f ca="1">Forecast!AF$5/AE21*Assumptions!$B$14</f>
        <v>370000</v>
      </c>
      <c r="AF9" s="4">
        <f ca="1">Forecast!AG$5/AF21*Assumptions!$B$14</f>
        <v>352258.06451612903</v>
      </c>
      <c r="AG9" s="4">
        <f ca="1">Forecast!AH$5/AG21*Assumptions!$B$14</f>
        <v>368709.67741935485</v>
      </c>
      <c r="AH9" s="4">
        <f ca="1">Forecast!AI$5/AH21*Assumptions!$B$14</f>
        <v>389000</v>
      </c>
      <c r="AI9" s="4">
        <f ca="1">Forecast!AJ$5/AI21*Assumptions!$B$14</f>
        <v>360000</v>
      </c>
      <c r="AJ9" s="4">
        <f ca="1">Forecast!AK$5/AJ21*Assumptions!$B$14</f>
        <v>380000</v>
      </c>
      <c r="AK9" s="4">
        <f ca="1">Forecast!AL$5/AK21*Assumptions!$B$14</f>
        <v>372580.64516129036</v>
      </c>
      <c r="AL9" s="4">
        <f ca="1">Forecast!AM$5/AL21*Assumptions!$B$14</f>
        <v>361935.48387096776</v>
      </c>
      <c r="AM9" s="4">
        <f ca="1">Forecast!AN$5/AM21*Assumptions!$B$14</f>
        <v>417857.1428571429</v>
      </c>
    </row>
    <row r="10" spans="2:39" ht="15" customHeight="1" x14ac:dyDescent="0.3">
      <c r="B10" s="41" t="s">
        <v>39</v>
      </c>
      <c r="C10" s="4">
        <f>Assumptions!$B$20</f>
        <v>21000</v>
      </c>
      <c r="D10" s="4">
        <f ca="1">Forecast!C81</f>
        <v>4312.8386163288087</v>
      </c>
      <c r="E10" s="4">
        <f ca="1">Forecast!D81</f>
        <v>-2922.4141651917307</v>
      </c>
      <c r="F10" s="4">
        <f ca="1">Forecast!E81</f>
        <v>20454.644881244683</v>
      </c>
      <c r="G10" s="4">
        <f ca="1">Forecast!F81</f>
        <v>12084.338336283174</v>
      </c>
      <c r="H10" s="4">
        <f ca="1">Forecast!G81</f>
        <v>134203.83530189711</v>
      </c>
      <c r="I10" s="4">
        <f ca="1">Forecast!H81</f>
        <v>27522.098668684441</v>
      </c>
      <c r="J10" s="4">
        <f ca="1">Forecast!I81</f>
        <v>50812.885956878927</v>
      </c>
      <c r="K10" s="4">
        <f ca="1">Forecast!J81</f>
        <v>86247.382922492718</v>
      </c>
      <c r="L10" s="4">
        <f ca="1">Forecast!K81</f>
        <v>47772.525049397009</v>
      </c>
      <c r="M10" s="4">
        <f ca="1">Forecast!L81</f>
        <v>70725.441369849606</v>
      </c>
      <c r="N10" s="4">
        <f ca="1">Forecast!M81</f>
        <v>116701.47059352807</v>
      </c>
      <c r="O10" s="4">
        <f ca="1">Forecast!N81</f>
        <v>97659.922494000988</v>
      </c>
      <c r="P10" s="4">
        <f ca="1">Forecast!P81</f>
        <v>56493.528906619475</v>
      </c>
      <c r="Q10" s="4">
        <f ca="1">Forecast!Q81</f>
        <v>94701.525872233411</v>
      </c>
      <c r="R10" s="4">
        <f ca="1">Forecast!R81</f>
        <v>100884.26477333113</v>
      </c>
      <c r="S10" s="4">
        <f ca="1">Forecast!S81</f>
        <v>187838.15293450211</v>
      </c>
      <c r="T10" s="4">
        <f ca="1">Forecast!T81</f>
        <v>235699.78303115693</v>
      </c>
      <c r="U10" s="4">
        <f ca="1">Forecast!U81</f>
        <v>243737.66786604107</v>
      </c>
      <c r="V10" s="4">
        <f ca="1">Forecast!V81</f>
        <v>233833.2495755991</v>
      </c>
      <c r="W10" s="4">
        <f ca="1">Forecast!W81</f>
        <v>198824.12160773779</v>
      </c>
      <c r="X10" s="4">
        <f ca="1">Forecast!X81</f>
        <v>217239.03127428511</v>
      </c>
      <c r="Y10" s="4">
        <f ca="1">Forecast!Y81</f>
        <v>210370.67212362803</v>
      </c>
      <c r="Z10" s="4">
        <f ca="1">Forecast!Z81</f>
        <v>212475.15705899257</v>
      </c>
      <c r="AA10" s="4">
        <f ca="1">Forecast!AA81</f>
        <v>168337.30765892903</v>
      </c>
      <c r="AB10" s="4">
        <f ca="1">Forecast!AC81</f>
        <v>241435.12093530747</v>
      </c>
      <c r="AC10" s="4">
        <f ca="1">Forecast!AD81</f>
        <v>150246.31554809134</v>
      </c>
      <c r="AD10" s="4">
        <f ca="1">Forecast!AE81</f>
        <v>182862.18758023003</v>
      </c>
      <c r="AE10" s="4">
        <f ca="1">Forecast!AF81</f>
        <v>166889.43058011067</v>
      </c>
      <c r="AF10" s="4">
        <f ca="1">Forecast!AG81</f>
        <v>234865.4375032454</v>
      </c>
      <c r="AG10" s="4">
        <f ca="1">Forecast!AH81</f>
        <v>183652.77665774681</v>
      </c>
      <c r="AH10" s="4">
        <f ca="1">Forecast!AI81</f>
        <v>181497.96100023639</v>
      </c>
      <c r="AI10" s="4">
        <f ca="1">Forecast!AJ81</f>
        <v>232447.75824595173</v>
      </c>
      <c r="AJ10" s="4">
        <f ca="1">Forecast!AK81</f>
        <v>230893.99097553806</v>
      </c>
      <c r="AK10" s="4">
        <f ca="1">Forecast!AL81</f>
        <v>162269.22370512434</v>
      </c>
      <c r="AL10" s="4">
        <f ca="1">Forecast!AM81</f>
        <v>227748.52652014134</v>
      </c>
      <c r="AM10" s="4">
        <f ca="1">Forecast!AN81</f>
        <v>143184.30839808052</v>
      </c>
    </row>
    <row r="11" spans="2:39" s="47" customFormat="1" ht="15" customHeight="1" thickBot="1" x14ac:dyDescent="0.4">
      <c r="B11" s="43"/>
      <c r="C11" s="60">
        <f t="shared" ref="C11:AM11" si="3">SUM(C6:C10)</f>
        <v>1211000</v>
      </c>
      <c r="D11" s="60">
        <f t="shared" ca="1" si="3"/>
        <v>1238560.1504442859</v>
      </c>
      <c r="E11" s="60">
        <f t="shared" ca="1" si="3"/>
        <v>1291744.2525014747</v>
      </c>
      <c r="F11" s="60">
        <f t="shared" ca="1" si="3"/>
        <v>1307040.6663866211</v>
      </c>
      <c r="G11" s="60">
        <f t="shared" ca="1" si="3"/>
        <v>1299284.3383362831</v>
      </c>
      <c r="H11" s="60">
        <f t="shared" ca="1" si="3"/>
        <v>1365158.1363771658</v>
      </c>
      <c r="I11" s="60">
        <f t="shared" ca="1" si="3"/>
        <v>1340196.8298514802</v>
      </c>
      <c r="J11" s="60">
        <f t="shared" ca="1" si="3"/>
        <v>1356187.885956879</v>
      </c>
      <c r="K11" s="60">
        <f t="shared" ca="1" si="3"/>
        <v>1338572.6517396972</v>
      </c>
      <c r="L11" s="60">
        <f t="shared" ca="1" si="3"/>
        <v>1329939.191716064</v>
      </c>
      <c r="M11" s="60">
        <f t="shared" ca="1" si="3"/>
        <v>1336491.5704021081</v>
      </c>
      <c r="N11" s="60">
        <f t="shared" ca="1" si="3"/>
        <v>1364099.3200558939</v>
      </c>
      <c r="O11" s="60">
        <f t="shared" ca="1" si="3"/>
        <v>1352094.446303525</v>
      </c>
      <c r="P11" s="60">
        <f t="shared" ca="1" si="3"/>
        <v>1382227.1758600248</v>
      </c>
      <c r="Q11" s="60">
        <f t="shared" ca="1" si="3"/>
        <v>1378187.6369833448</v>
      </c>
      <c r="R11" s="60">
        <f t="shared" ca="1" si="3"/>
        <v>1391808.3239131165</v>
      </c>
      <c r="S11" s="60">
        <f t="shared" ca="1" si="3"/>
        <v>1495743.7084900581</v>
      </c>
      <c r="T11" s="60">
        <f t="shared" ca="1" si="3"/>
        <v>1502144.8995186125</v>
      </c>
      <c r="U11" s="60">
        <f t="shared" ca="1" si="3"/>
        <v>1439362.6678660414</v>
      </c>
      <c r="V11" s="60">
        <f t="shared" ca="1" si="3"/>
        <v>1438492.9717978218</v>
      </c>
      <c r="W11" s="60">
        <f t="shared" ca="1" si="3"/>
        <v>1455228.2434715377</v>
      </c>
      <c r="X11" s="60">
        <f t="shared" ca="1" si="3"/>
        <v>1458351.5312742856</v>
      </c>
      <c r="Y11" s="60">
        <f t="shared" ca="1" si="3"/>
        <v>1455957.1416576786</v>
      </c>
      <c r="Z11" s="60">
        <f t="shared" ca="1" si="3"/>
        <v>1436507.6391378462</v>
      </c>
      <c r="AA11" s="60">
        <f t="shared" ca="1" si="3"/>
        <v>1424643.8552779774</v>
      </c>
      <c r="AB11" s="60">
        <f t="shared" ca="1" si="3"/>
        <v>1441321.7696808279</v>
      </c>
      <c r="AC11" s="60">
        <f t="shared" ca="1" si="3"/>
        <v>1445851.8711036474</v>
      </c>
      <c r="AD11" s="60">
        <f t="shared" ca="1" si="3"/>
        <v>1420283.4241393702</v>
      </c>
      <c r="AE11" s="60">
        <f t="shared" ca="1" si="3"/>
        <v>1439900.5416912222</v>
      </c>
      <c r="AF11" s="60">
        <f t="shared" ca="1" si="3"/>
        <v>1468466.4231663283</v>
      </c>
      <c r="AG11" s="60">
        <f t="shared" ca="1" si="3"/>
        <v>1429133.9594534463</v>
      </c>
      <c r="AH11" s="60">
        <f t="shared" ca="1" si="3"/>
        <v>1444617.4054446814</v>
      </c>
      <c r="AI11" s="60">
        <f t="shared" ca="1" si="3"/>
        <v>1439269.9804681742</v>
      </c>
      <c r="AJ11" s="60">
        <f t="shared" ca="1" si="3"/>
        <v>1454918.9909755385</v>
      </c>
      <c r="AK11" s="60">
        <f t="shared" ca="1" si="3"/>
        <v>1455784.6358915046</v>
      </c>
      <c r="AL11" s="60">
        <f t="shared" ca="1" si="3"/>
        <v>1490915.6412154823</v>
      </c>
      <c r="AM11" s="60">
        <f t="shared" ca="1" si="3"/>
        <v>1475853.3560171283</v>
      </c>
    </row>
    <row r="12" spans="2:39" ht="15" customHeight="1" thickTop="1" x14ac:dyDescent="0.35">
      <c r="B12" s="43" t="s">
        <v>40</v>
      </c>
      <c r="C12" s="4"/>
      <c r="D12" s="4"/>
      <c r="E12" s="4"/>
      <c r="F12" s="4"/>
      <c r="G12" s="4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2:39" ht="15" customHeight="1" x14ac:dyDescent="0.3">
      <c r="B13" s="3" t="s">
        <v>66</v>
      </c>
      <c r="C13" s="4">
        <f>-Assumptions!$B$21</f>
        <v>1000</v>
      </c>
      <c r="D13" s="4">
        <f>C13+Forecast!C72</f>
        <v>1000</v>
      </c>
      <c r="E13" s="4">
        <f>D13+Forecast!D72</f>
        <v>1000</v>
      </c>
      <c r="F13" s="4">
        <f>E13+Forecast!E72</f>
        <v>1000</v>
      </c>
      <c r="G13" s="4">
        <f>F13+Forecast!F72</f>
        <v>1500</v>
      </c>
      <c r="H13" s="4">
        <f>G13+Forecast!G72</f>
        <v>1500</v>
      </c>
      <c r="I13" s="4">
        <f>H13+Forecast!H72</f>
        <v>1500</v>
      </c>
      <c r="J13" s="4">
        <f>I13+Forecast!I72</f>
        <v>1500</v>
      </c>
      <c r="K13" s="4">
        <f>J13+Forecast!J72</f>
        <v>1500</v>
      </c>
      <c r="L13" s="4">
        <f>K13+Forecast!K72</f>
        <v>1500</v>
      </c>
      <c r="M13" s="4">
        <f>L13+Forecast!L72</f>
        <v>1500</v>
      </c>
      <c r="N13" s="4">
        <f>M13+Forecast!M72</f>
        <v>1500</v>
      </c>
      <c r="O13" s="4">
        <f>N13+Forecast!N72</f>
        <v>1500</v>
      </c>
      <c r="P13" s="4">
        <f>O13+Forecast!P72</f>
        <v>1500</v>
      </c>
      <c r="Q13" s="4">
        <f>P13+Forecast!Q72</f>
        <v>1500</v>
      </c>
      <c r="R13" s="4">
        <f>Q13+Forecast!R72</f>
        <v>1500</v>
      </c>
      <c r="S13" s="4">
        <f>R13+Forecast!S72</f>
        <v>1500</v>
      </c>
      <c r="T13" s="4">
        <f>S13+Forecast!T72</f>
        <v>1500</v>
      </c>
      <c r="U13" s="4">
        <f>T13+Forecast!U72</f>
        <v>1500</v>
      </c>
      <c r="V13" s="4">
        <f>U13+Forecast!V72</f>
        <v>1500</v>
      </c>
      <c r="W13" s="4">
        <f>V13+Forecast!W72</f>
        <v>1500</v>
      </c>
      <c r="X13" s="4">
        <f>W13+Forecast!X72</f>
        <v>1500</v>
      </c>
      <c r="Y13" s="4">
        <f>X13+Forecast!Y72</f>
        <v>1500</v>
      </c>
      <c r="Z13" s="4">
        <f>Y13+Forecast!Z72</f>
        <v>1500</v>
      </c>
      <c r="AA13" s="4">
        <f>Z13+Forecast!AA72</f>
        <v>1500</v>
      </c>
      <c r="AB13" s="4">
        <f>AA13+Forecast!AC72</f>
        <v>1500</v>
      </c>
      <c r="AC13" s="4">
        <f>AB13+Forecast!AD72</f>
        <v>1500</v>
      </c>
      <c r="AD13" s="4">
        <f>AC13+Forecast!AE72</f>
        <v>1500</v>
      </c>
      <c r="AE13" s="4">
        <f>AD13+Forecast!AF72</f>
        <v>1500</v>
      </c>
      <c r="AF13" s="4">
        <f>AE13+Forecast!AG72</f>
        <v>1500</v>
      </c>
      <c r="AG13" s="4">
        <f>AF13+Forecast!AH72</f>
        <v>1500</v>
      </c>
      <c r="AH13" s="4">
        <f>AG13+Forecast!AI72</f>
        <v>1500</v>
      </c>
      <c r="AI13" s="4">
        <f>AH13+Forecast!AJ72</f>
        <v>1500</v>
      </c>
      <c r="AJ13" s="4">
        <f>AI13+Forecast!AK72</f>
        <v>1500</v>
      </c>
      <c r="AK13" s="4">
        <f>AJ13+Forecast!AL72</f>
        <v>1500</v>
      </c>
      <c r="AL13" s="4">
        <f>AK13+Forecast!AM72</f>
        <v>1500</v>
      </c>
      <c r="AM13" s="4">
        <f>AL13+Forecast!AN72</f>
        <v>1500</v>
      </c>
    </row>
    <row r="14" spans="2:39" ht="15" customHeight="1" x14ac:dyDescent="0.3">
      <c r="B14" s="3" t="s">
        <v>41</v>
      </c>
      <c r="C14" s="4">
        <f>-Assumptions!$B$22</f>
        <v>0</v>
      </c>
      <c r="D14" s="4">
        <f ca="1">C14+Forecast!C45</f>
        <v>24448.799999999996</v>
      </c>
      <c r="E14" s="4">
        <f ca="1">D14+Forecast!D45</f>
        <v>62413.915229620347</v>
      </c>
      <c r="F14" s="4">
        <f ca="1">E14+Forecast!E45</f>
        <v>87988.118447120243</v>
      </c>
      <c r="G14" s="4">
        <f ca="1">F14+Forecast!F45</f>
        <v>64375.38917239361</v>
      </c>
      <c r="H14" s="4">
        <f ca="1">G14+Forecast!G45</f>
        <v>79672.113746133473</v>
      </c>
      <c r="I14" s="4">
        <f ca="1">H14+Forecast!H45</f>
        <v>94765.914046752121</v>
      </c>
      <c r="J14" s="4">
        <f ca="1">I14+Forecast!I45</f>
        <v>122977.66048685975</v>
      </c>
      <c r="K14" s="4">
        <f ca="1">J14+Forecast!J45</f>
        <v>110236.23109517689</v>
      </c>
      <c r="L14" s="4">
        <f ca="1">K14+Forecast!K45</f>
        <v>112788.91158317537</v>
      </c>
      <c r="M14" s="4">
        <f ca="1">L14+Forecast!L45</f>
        <v>142258.11541230243</v>
      </c>
      <c r="N14" s="4">
        <f ca="1">M14+Forecast!M45</f>
        <v>177604.9038617929</v>
      </c>
      <c r="O14" s="4">
        <f ca="1">N14+Forecast!N45</f>
        <v>205237.30609707499</v>
      </c>
      <c r="P14" s="4">
        <f ca="1">O14+Forecast!P45</f>
        <v>234613.71923877436</v>
      </c>
      <c r="Q14" s="4">
        <f ca="1">P14+Forecast!Q45</f>
        <v>238848.54843232216</v>
      </c>
      <c r="R14" s="4">
        <f ca="1">Q14+Forecast!R45</f>
        <v>267498.16691817209</v>
      </c>
      <c r="S14" s="4">
        <f ca="1">R14+Forecast!S45</f>
        <v>287151.91610263177</v>
      </c>
      <c r="T14" s="4">
        <f ca="1">S14+Forecast!T45</f>
        <v>314998.52855510457</v>
      </c>
      <c r="U14" s="4">
        <f ca="1">T14+Forecast!U45</f>
        <v>308088.8584291857</v>
      </c>
      <c r="V14" s="4">
        <f ca="1">U14+Forecast!V45</f>
        <v>330321.76875231415</v>
      </c>
      <c r="W14" s="4">
        <f ca="1">V14+Forecast!W45</f>
        <v>341889.49150341912</v>
      </c>
      <c r="X14" s="4">
        <f ca="1">W14+Forecast!X45</f>
        <v>363781.78769124538</v>
      </c>
      <c r="Y14" s="4">
        <f ca="1">X14+Forecast!Y45</f>
        <v>357059.94743336429</v>
      </c>
      <c r="Z14" s="4">
        <f ca="1">Y14+Forecast!Z45</f>
        <v>366768.23003587587</v>
      </c>
      <c r="AA14" s="4">
        <f ca="1">Z14+Forecast!AA45</f>
        <v>401343.22407380852</v>
      </c>
      <c r="AB14" s="4">
        <f ca="1">AA14+Forecast!AC45</f>
        <v>432346.52747222222</v>
      </c>
      <c r="AC14" s="4">
        <f ca="1">AB14+Forecast!AD45</f>
        <v>426343.58758802124</v>
      </c>
      <c r="AD14" s="4">
        <f ca="1">AC14+Forecast!AE45</f>
        <v>445267.5012924826</v>
      </c>
      <c r="AE14" s="4">
        <f ca="1">AD14+Forecast!AF45</f>
        <v>461726.97505450714</v>
      </c>
      <c r="AF14" s="4">
        <f ca="1">AE14+Forecast!AG45</f>
        <v>423331.42502459855</v>
      </c>
      <c r="AG14" s="4">
        <f ca="1">AF14+Forecast!AH45</f>
        <v>449105.61861250608</v>
      </c>
      <c r="AH14" s="4">
        <f ca="1">AG14+Forecast!AI45</f>
        <v>463772.58427488554</v>
      </c>
      <c r="AI14" s="4">
        <f ca="1">AH14+Forecast!AJ45</f>
        <v>492624.24086738867</v>
      </c>
      <c r="AJ14" s="4">
        <f ca="1">AI14+Forecast!AK45</f>
        <v>505304.43773565395</v>
      </c>
      <c r="AK14" s="4">
        <f ca="1">AJ14+Forecast!AL45</f>
        <v>531313.27480709436</v>
      </c>
      <c r="AL14" s="4">
        <f ca="1">AK14+Forecast!AM45</f>
        <v>553779.38268348773</v>
      </c>
      <c r="AM14" s="4">
        <f ca="1">AL14+Forecast!AN45</f>
        <v>580615.97133154876</v>
      </c>
    </row>
    <row r="15" spans="2:39" s="8" customFormat="1" ht="15" customHeight="1" x14ac:dyDescent="0.3">
      <c r="B15" s="6" t="s">
        <v>45</v>
      </c>
      <c r="C15" s="7">
        <f>-Assumptions!$B$23</f>
        <v>1100000</v>
      </c>
      <c r="D15" s="7">
        <f ca="1">C15+Forecast!C74+Forecast!C73</f>
        <v>1085981.7095840708</v>
      </c>
      <c r="E15" s="7">
        <f ca="1">D15+Forecast!D74+Forecast!D73</f>
        <v>1071840.7591270022</v>
      </c>
      <c r="F15" s="7">
        <f ca="1">E15+Forecast!E74+Forecast!E73</f>
        <v>1057576.0753534343</v>
      </c>
      <c r="G15" s="7">
        <f ca="1">F15+Forecast!F74+Forecast!F73</f>
        <v>1043186.5755968477</v>
      </c>
      <c r="H15" s="7">
        <f ca="1">G15+Forecast!G74+Forecast!G73</f>
        <v>1127396.7776795791</v>
      </c>
      <c r="I15" s="7">
        <f ca="1">H15+Forecast!H74+Forecast!H73</f>
        <v>1111468.8190305345</v>
      </c>
      <c r="J15" s="7">
        <f ca="1">I15+Forecast!I74+Forecast!I73</f>
        <v>1095401.4907433107</v>
      </c>
      <c r="K15" s="7">
        <f ca="1">J15+Forecast!J74+Forecast!J73</f>
        <v>1079193.5733335738</v>
      </c>
      <c r="L15" s="7">
        <f ca="1">K15+Forecast!K74+Forecast!K73</f>
        <v>1062843.8366465017</v>
      </c>
      <c r="M15" s="7">
        <f ca="1">L15+Forecast!L74+Forecast!L73</f>
        <v>1046351.0397634176</v>
      </c>
      <c r="N15" s="7">
        <f ca="1">M15+Forecast!M74+Forecast!M73</f>
        <v>1029713.9309076065</v>
      </c>
      <c r="O15" s="7">
        <f ca="1">N15+Forecast!N74+Forecast!N73</f>
        <v>1012931.2473493071</v>
      </c>
      <c r="P15" s="7">
        <f ca="1">O15+Forecast!P74+Forecast!P73</f>
        <v>996001.71530987252</v>
      </c>
      <c r="Q15" s="7">
        <f ca="1">P15+Forecast!Q74+Forecast!Q73</f>
        <v>978924.04986509297</v>
      </c>
      <c r="R15" s="7">
        <f ca="1">Q15+Forecast!R74+Forecast!R73</f>
        <v>961696.95484767156</v>
      </c>
      <c r="S15" s="7">
        <f ca="1">R15+Forecast!S74+Forecast!S73</f>
        <v>1023299.6107185984</v>
      </c>
      <c r="T15" s="7">
        <f ca="1">S15+Forecast!T74+Forecast!T73</f>
        <v>1004741.2898283957</v>
      </c>
      <c r="U15" s="7">
        <f ca="1">T15+Forecast!U74+Forecast!U73</f>
        <v>986020.58363040385</v>
      </c>
      <c r="V15" s="7">
        <f ca="1">U15+Forecast!V74+Forecast!V73</f>
        <v>967136.07125317957</v>
      </c>
      <c r="W15" s="7">
        <f ca="1">V15+Forecast!W74+Forecast!W73</f>
        <v>948086.31939265458</v>
      </c>
      <c r="X15" s="7">
        <f ca="1">W15+Forecast!X74+Forecast!X73</f>
        <v>928869.88220334996</v>
      </c>
      <c r="Y15" s="7">
        <f ca="1">X15+Forecast!Y74+Forecast!Y73</f>
        <v>909485.3011886389</v>
      </c>
      <c r="Z15" s="7">
        <f ca="1">Y15+Forecast!Z74+Forecast!Z73</f>
        <v>889931.1050900491</v>
      </c>
      <c r="AA15" s="7">
        <f ca="1">Z15+Forecast!AA74+Forecast!AA73</f>
        <v>870205.80977559672</v>
      </c>
      <c r="AB15" s="7">
        <f ca="1">AA15+Forecast!AC74+Forecast!AC73</f>
        <v>850307.91812714282</v>
      </c>
      <c r="AC15" s="7">
        <f ca="1">AB15+Forecast!AD74+Forecast!AD73</f>
        <v>830235.91992676503</v>
      </c>
      <c r="AD15" s="7">
        <f ca="1">AC15+Forecast!AE74+Forecast!AE73</f>
        <v>809988.29174213391</v>
      </c>
      <c r="AE15" s="7">
        <f ca="1">AD15+Forecast!AF74+Forecast!AF73</f>
        <v>789563.49681088724</v>
      </c>
      <c r="AF15" s="7">
        <f ca="1">AE15+Forecast!AG74+Forecast!AG73</f>
        <v>843004.19239563332</v>
      </c>
      <c r="AG15" s="7">
        <f ca="1">AF15+Forecast!AH74+Forecast!AH73</f>
        <v>821256.24406674597</v>
      </c>
      <c r="AH15" s="7">
        <f ca="1">AG15+Forecast!AI74+Forecast!AI73</f>
        <v>799318.00118998089</v>
      </c>
      <c r="AI15" s="7">
        <f ca="1">AH15+Forecast!AJ74+Forecast!AJ73</f>
        <v>777187.79868804407</v>
      </c>
      <c r="AJ15" s="7">
        <f ca="1">AI15+Forecast!AK74+Forecast!AK73</f>
        <v>754863.95691421535</v>
      </c>
      <c r="AK15" s="7">
        <f ca="1">AJ15+Forecast!AL74+Forecast!AL73</f>
        <v>732344.78152486554</v>
      </c>
      <c r="AL15" s="7">
        <f ca="1">AK15+Forecast!AM74+Forecast!AM73</f>
        <v>739246.24633951543</v>
      </c>
      <c r="AM15" s="7">
        <f ca="1">AL15+Forecast!AN74+Forecast!AN73</f>
        <v>715945.59897129354</v>
      </c>
    </row>
    <row r="16" spans="2:39" ht="15" customHeight="1" x14ac:dyDescent="0.35">
      <c r="B16" s="11" t="s">
        <v>42</v>
      </c>
      <c r="C16" s="4"/>
      <c r="D16" s="4"/>
      <c r="E16" s="4"/>
      <c r="F16" s="4"/>
      <c r="G16" s="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5" customHeight="1" x14ac:dyDescent="0.3">
      <c r="B17" s="3" t="s">
        <v>90</v>
      </c>
      <c r="C17" s="4">
        <f>-Assumptions!$B$24</f>
        <v>110000</v>
      </c>
      <c r="D17" s="4">
        <f ca="1">SUM(Forecast!C7,Forecast!C13:C35)/D21*Assumptions!$B$15</f>
        <v>117621.77419354838</v>
      </c>
      <c r="E17" s="4">
        <f ca="1">SUM(Forecast!D7,Forecast!D13:D35)/E21*Assumptions!$B$15</f>
        <v>132217.5</v>
      </c>
      <c r="F17" s="4">
        <f ca="1">SUM(Forecast!E7,Forecast!E13:E35)/F21*Assumptions!$B$15</f>
        <v>126258.87096774194</v>
      </c>
      <c r="G17" s="4">
        <f ca="1">SUM(Forecast!F7,Forecast!F13:F35)/G21*Assumptions!$B$15</f>
        <v>165187.5</v>
      </c>
      <c r="H17" s="4">
        <f ca="1">SUM(Forecast!G7,Forecast!G13:G35)/H21*Assumptions!$B$15</f>
        <v>125605.64516129032</v>
      </c>
      <c r="I17" s="4">
        <f ca="1">SUM(Forecast!H7,Forecast!H13:H35)/I21*Assumptions!$B$15</f>
        <v>132462.09677419355</v>
      </c>
      <c r="J17" s="4">
        <f ca="1">SUM(Forecast!I7,Forecast!I13:I35)/J21*Assumptions!$B$15</f>
        <v>125337.50000000001</v>
      </c>
      <c r="K17" s="4">
        <f ca="1">SUM(Forecast!J7,Forecast!J13:J35)/K21*Assumptions!$B$15</f>
        <v>141626.61290322579</v>
      </c>
      <c r="L17" s="4">
        <f ca="1">SUM(Forecast!K7,Forecast!K13:K35)/L21*Assumptions!$B$15</f>
        <v>145797.5</v>
      </c>
      <c r="M17" s="4">
        <f ca="1">SUM(Forecast!L7,Forecast!L13:L35)/M21*Assumptions!$B$15</f>
        <v>127913.22580645162</v>
      </c>
      <c r="N17" s="4">
        <f ca="1">SUM(Forecast!M7,Forecast!M13:M35)/N21*Assumptions!$B$15</f>
        <v>123065.32258064517</v>
      </c>
      <c r="O17" s="4">
        <f ca="1">SUM(Forecast!N7,Forecast!N13:N35)/O21*Assumptions!$B$15</f>
        <v>132425.89285714284</v>
      </c>
      <c r="P17" s="4">
        <f ca="1">SUM(Forecast!P7,Forecast!P13:P35)/P21*Assumptions!$B$15</f>
        <v>138687.58064516127</v>
      </c>
      <c r="Q17" s="4">
        <f ca="1">SUM(Forecast!Q7,Forecast!Q13:Q35)/Q21*Assumptions!$B$15</f>
        <v>145844</v>
      </c>
      <c r="R17" s="4">
        <f ca="1">SUM(Forecast!R7,Forecast!R13:R35)/R21*Assumptions!$B$15</f>
        <v>136900.6451612903</v>
      </c>
      <c r="S17" s="4">
        <f ca="1">SUM(Forecast!S7,Forecast!S13:S35)/S21*Assumptions!$B$15</f>
        <v>151936.5</v>
      </c>
      <c r="T17" s="4">
        <f ca="1">SUM(Forecast!T7,Forecast!T13:T35)/T21*Assumptions!$B$15</f>
        <v>138220.16129032258</v>
      </c>
      <c r="U17" s="4">
        <f ca="1">SUM(Forecast!U7,Forecast!U13:U35)/U21*Assumptions!$B$15</f>
        <v>143753.22580645161</v>
      </c>
      <c r="V17" s="4">
        <f ca="1">SUM(Forecast!V7,Forecast!V13:V35)/V21*Assumptions!$B$15</f>
        <v>130888.99999999999</v>
      </c>
      <c r="W17" s="4">
        <f ca="1">SUM(Forecast!W7,Forecast!W13:W35)/W21*Assumptions!$B$15</f>
        <v>150607.74193548388</v>
      </c>
      <c r="X17" s="4">
        <f ca="1">SUM(Forecast!X7,Forecast!X13:X35)/X21*Assumptions!$B$15</f>
        <v>142541.5</v>
      </c>
      <c r="Y17" s="4">
        <f ca="1">SUM(Forecast!Y7,Forecast!Y13:Y35)/Y21*Assumptions!$B$15</f>
        <v>168867.58064516127</v>
      </c>
      <c r="Z17" s="4">
        <f ca="1">SUM(Forecast!Z7,Forecast!Z13:Z35)/Z21*Assumptions!$B$15</f>
        <v>155488.54838709676</v>
      </c>
      <c r="AA17" s="4">
        <f ca="1">SUM(Forecast!AA7,Forecast!AA13:AA35)/AA21*Assumptions!$B$15</f>
        <v>151594.82142857145</v>
      </c>
      <c r="AB17" s="4">
        <f ca="1">SUM(Forecast!AC7,Forecast!AC13:AC35)/AB21*Assumptions!$B$15</f>
        <v>145110.48387096776</v>
      </c>
      <c r="AC17" s="4">
        <f ca="1">SUM(Forecast!AD7,Forecast!AD13:AD35)/AC21*Assumptions!$B$15</f>
        <v>178050</v>
      </c>
      <c r="AD17" s="4">
        <f ca="1">SUM(Forecast!AE7,Forecast!AE13:AE35)/AD21*Assumptions!$B$15</f>
        <v>146445.96774193548</v>
      </c>
      <c r="AE17" s="4">
        <f ca="1">SUM(Forecast!AF7,Forecast!AF13:AF35)/AE21*Assumptions!$B$15</f>
        <v>163627.5</v>
      </c>
      <c r="AF17" s="4">
        <f ca="1">SUM(Forecast!AG7,Forecast!AG13:AG35)/AF21*Assumptions!$B$15</f>
        <v>192079.83870967742</v>
      </c>
      <c r="AG17" s="4">
        <f ca="1">SUM(Forecast!AH7,Forecast!AH13:AH35)/AG21*Assumptions!$B$15</f>
        <v>157272.09677419355</v>
      </c>
      <c r="AH17" s="4">
        <f ca="1">SUM(Forecast!AI7,Forecast!AI13:AI35)/AH21*Assumptions!$B$15</f>
        <v>174323</v>
      </c>
      <c r="AI17" s="4">
        <f ca="1">SUM(Forecast!AJ7,Forecast!AJ13:AJ35)/AI21*Assumptions!$B$15</f>
        <v>151034.03225806452</v>
      </c>
      <c r="AJ17" s="4">
        <f ca="1">SUM(Forecast!AK7,Forecast!AK13:AK35)/AJ21*Assumptions!$B$15</f>
        <v>171395.5</v>
      </c>
      <c r="AK17" s="4">
        <f ca="1">SUM(Forecast!AL7,Forecast!AL13:AL35)/AK21*Assumptions!$B$15</f>
        <v>158656.93548387097</v>
      </c>
      <c r="AL17" s="4">
        <f ca="1">SUM(Forecast!AM7,Forecast!AM13:AM35)/AL21*Assumptions!$B$15</f>
        <v>155683.54838709676</v>
      </c>
      <c r="AM17" s="4">
        <f ca="1">SUM(Forecast!AN7,Forecast!AN13:AN35)/AM21*Assumptions!$B$15</f>
        <v>177791.78571428571</v>
      </c>
    </row>
    <row r="18" spans="1:39" ht="15" customHeight="1" x14ac:dyDescent="0.3">
      <c r="B18" s="3" t="s">
        <v>56</v>
      </c>
      <c r="C18" s="4">
        <f>-Assumptions!$B$25</f>
        <v>0</v>
      </c>
      <c r="D18" s="4">
        <f ca="1">Forecast!C43</f>
        <v>9507.8666666666668</v>
      </c>
      <c r="E18" s="4">
        <f ca="1">D18+Forecast!D43</f>
        <v>24272.078144852363</v>
      </c>
      <c r="F18" s="4">
        <f ca="1">E18+Forecast!E43</f>
        <v>34217.601618324537</v>
      </c>
      <c r="G18" s="4">
        <f ca="1">F18+Forecast!F43</f>
        <v>25034.873567041959</v>
      </c>
      <c r="H18" s="4">
        <f ca="1">G18+Forecast!G43</f>
        <v>30983.599790163018</v>
      </c>
      <c r="I18" s="4">
        <v>0</v>
      </c>
      <c r="J18" s="4">
        <f ca="1">I18+Forecast!I43</f>
        <v>10971.234726708528</v>
      </c>
      <c r="K18" s="4">
        <f ca="1">J18+Forecast!J43</f>
        <v>6016.2344077207454</v>
      </c>
      <c r="L18" s="4">
        <f ca="1">K18+Forecast!K43</f>
        <v>7008.94348638683</v>
      </c>
      <c r="M18" s="4">
        <f ca="1">L18+Forecast!L43</f>
        <v>18469.189419936236</v>
      </c>
      <c r="N18" s="4">
        <f ca="1">M18+Forecast!M43</f>
        <v>32215.162705849201</v>
      </c>
      <c r="O18" s="4">
        <v>0</v>
      </c>
      <c r="P18" s="4">
        <f ca="1">O18+Forecast!P43</f>
        <v>11424.160666216412</v>
      </c>
      <c r="Q18" s="4">
        <f ca="1">P18+Forecast!Q43</f>
        <v>13071.038685929438</v>
      </c>
      <c r="R18" s="4">
        <f ca="1">Q18+Forecast!R43</f>
        <v>24212.556985982184</v>
      </c>
      <c r="S18" s="4">
        <f ca="1">R18+Forecast!S43</f>
        <v>31855.681668827616</v>
      </c>
      <c r="T18" s="4">
        <f ca="1">S18+Forecast!T43</f>
        <v>42684.919844789285</v>
      </c>
      <c r="U18" s="4">
        <v>0</v>
      </c>
      <c r="V18" s="4">
        <f ca="1">U18+Forecast!V43</f>
        <v>8646.1317923277384</v>
      </c>
      <c r="W18" s="4">
        <f ca="1">V18+Forecast!W43</f>
        <v>13144.690639979643</v>
      </c>
      <c r="X18" s="4">
        <f ca="1">W18+Forecast!X43</f>
        <v>21658.361379689886</v>
      </c>
      <c r="Y18" s="4">
        <f ca="1">X18+Forecast!Y43</f>
        <v>19044.312390513893</v>
      </c>
      <c r="Z18" s="4">
        <f ca="1">Y18+Forecast!Z43</f>
        <v>22819.755624823942</v>
      </c>
      <c r="AA18" s="4">
        <v>0</v>
      </c>
      <c r="AB18" s="4">
        <f ca="1">AA18+Forecast!AC43</f>
        <v>12056.840210494236</v>
      </c>
      <c r="AC18" s="4">
        <f ca="1">AB18+Forecast!AD43</f>
        <v>9722.3635888604913</v>
      </c>
      <c r="AD18" s="4">
        <f ca="1">AC18+Forecast!AE43</f>
        <v>17081.663362817693</v>
      </c>
      <c r="AE18" s="4">
        <f ca="1">AD18+Forecast!AF43</f>
        <v>23482.569825827261</v>
      </c>
      <c r="AF18" s="4">
        <f ca="1">AE18+Forecast!AG43</f>
        <v>8550.9670364183548</v>
      </c>
      <c r="AG18" s="4">
        <v>0</v>
      </c>
      <c r="AH18" s="4">
        <f ca="1">AG18+Forecast!AI43</f>
        <v>5703.8199798142596</v>
      </c>
      <c r="AI18" s="4">
        <f ca="1">AH18+Forecast!AJ43</f>
        <v>16923.908654676547</v>
      </c>
      <c r="AJ18" s="4">
        <f ca="1">AI18+Forecast!AK43</f>
        <v>21855.096325668623</v>
      </c>
      <c r="AK18" s="4">
        <f ca="1">AJ18+Forecast!AL43</f>
        <v>31969.644075673248</v>
      </c>
      <c r="AL18" s="4">
        <f ca="1">AK18+Forecast!AM43</f>
        <v>40706.463805381762</v>
      </c>
      <c r="AM18" s="4">
        <v>0</v>
      </c>
    </row>
    <row r="19" spans="1:39" s="47" customFormat="1" ht="15" customHeight="1" thickBot="1" x14ac:dyDescent="0.4">
      <c r="B19" s="43"/>
      <c r="C19" s="60">
        <f t="shared" ref="C19:AM19" si="4">SUM(C13:C18)</f>
        <v>1211000</v>
      </c>
      <c r="D19" s="60">
        <f t="shared" ca="1" si="4"/>
        <v>1238560.1504442859</v>
      </c>
      <c r="E19" s="60">
        <f t="shared" ca="1" si="4"/>
        <v>1291744.2525014749</v>
      </c>
      <c r="F19" s="60">
        <f t="shared" ca="1" si="4"/>
        <v>1307040.6663866213</v>
      </c>
      <c r="G19" s="60">
        <f t="shared" ca="1" si="4"/>
        <v>1299284.3383362833</v>
      </c>
      <c r="H19" s="60">
        <f t="shared" ca="1" si="4"/>
        <v>1365158.136377166</v>
      </c>
      <c r="I19" s="60">
        <f t="shared" ca="1" si="4"/>
        <v>1340196.82985148</v>
      </c>
      <c r="J19" s="60">
        <f t="shared" ca="1" si="4"/>
        <v>1356187.885956879</v>
      </c>
      <c r="K19" s="60">
        <f t="shared" ca="1" si="4"/>
        <v>1338572.6517396972</v>
      </c>
      <c r="L19" s="60">
        <f t="shared" ca="1" si="4"/>
        <v>1329939.191716064</v>
      </c>
      <c r="M19" s="60">
        <f t="shared" ca="1" si="4"/>
        <v>1336491.5704021077</v>
      </c>
      <c r="N19" s="60">
        <f t="shared" ca="1" si="4"/>
        <v>1364099.3200558936</v>
      </c>
      <c r="O19" s="60">
        <f t="shared" ca="1" si="4"/>
        <v>1352094.446303525</v>
      </c>
      <c r="P19" s="60">
        <f t="shared" ca="1" si="4"/>
        <v>1382227.1758600245</v>
      </c>
      <c r="Q19" s="60">
        <f t="shared" ca="1" si="4"/>
        <v>1378187.6369833446</v>
      </c>
      <c r="R19" s="60">
        <f t="shared" ca="1" si="4"/>
        <v>1391808.323913116</v>
      </c>
      <c r="S19" s="60">
        <f t="shared" ca="1" si="4"/>
        <v>1495743.7084900576</v>
      </c>
      <c r="T19" s="60">
        <f t="shared" ca="1" si="4"/>
        <v>1502144.8995186121</v>
      </c>
      <c r="U19" s="60">
        <f t="shared" ca="1" si="4"/>
        <v>1439362.6678660412</v>
      </c>
      <c r="V19" s="60">
        <f t="shared" ca="1" si="4"/>
        <v>1438492.9717978216</v>
      </c>
      <c r="W19" s="60">
        <f t="shared" ca="1" si="4"/>
        <v>1455228.2434715373</v>
      </c>
      <c r="X19" s="60">
        <f t="shared" ca="1" si="4"/>
        <v>1458351.5312742852</v>
      </c>
      <c r="Y19" s="60">
        <f t="shared" ca="1" si="4"/>
        <v>1455957.1416576784</v>
      </c>
      <c r="Z19" s="60">
        <f t="shared" ca="1" si="4"/>
        <v>1436507.6391378457</v>
      </c>
      <c r="AA19" s="60">
        <f t="shared" ca="1" si="4"/>
        <v>1424643.8552779765</v>
      </c>
      <c r="AB19" s="60">
        <f t="shared" ca="1" si="4"/>
        <v>1441321.7696808269</v>
      </c>
      <c r="AC19" s="60">
        <f t="shared" ca="1" si="4"/>
        <v>1445851.8711036467</v>
      </c>
      <c r="AD19" s="60">
        <f t="shared" ca="1" si="4"/>
        <v>1420283.4241393695</v>
      </c>
      <c r="AE19" s="60">
        <f t="shared" ca="1" si="4"/>
        <v>1439900.5416912218</v>
      </c>
      <c r="AF19" s="60">
        <f t="shared" ca="1" si="4"/>
        <v>1468466.4231663276</v>
      </c>
      <c r="AG19" s="60">
        <f t="shared" ca="1" si="4"/>
        <v>1429133.9594534454</v>
      </c>
      <c r="AH19" s="60">
        <f t="shared" ca="1" si="4"/>
        <v>1444617.4054446807</v>
      </c>
      <c r="AI19" s="60">
        <f t="shared" ca="1" si="4"/>
        <v>1439269.9804681737</v>
      </c>
      <c r="AJ19" s="60">
        <f t="shared" ca="1" si="4"/>
        <v>1454918.9909755378</v>
      </c>
      <c r="AK19" s="60">
        <f t="shared" ca="1" si="4"/>
        <v>1455784.6358915044</v>
      </c>
      <c r="AL19" s="60">
        <f t="shared" ca="1" si="4"/>
        <v>1490915.6412154816</v>
      </c>
      <c r="AM19" s="60">
        <f t="shared" ca="1" si="4"/>
        <v>1475853.3560171279</v>
      </c>
    </row>
    <row r="20" spans="1:39" s="15" customFormat="1" ht="15" customHeight="1" thickTop="1" x14ac:dyDescent="0.3">
      <c r="B20" s="61"/>
      <c r="C20" s="123"/>
      <c r="D20" s="123"/>
      <c r="E20" s="123"/>
      <c r="F20" s="123"/>
    </row>
    <row r="21" spans="1:39" s="10" customFormat="1" ht="15" customHeight="1" x14ac:dyDescent="0.35">
      <c r="B21" s="11" t="s">
        <v>54</v>
      </c>
      <c r="C21" s="12">
        <f t="shared" ref="C21:AM21" ca="1" si="5">C4-DATE(YEAR(C4),MONTH(C4),1)+1</f>
        <v>29</v>
      </c>
      <c r="D21" s="12">
        <f t="shared" ca="1" si="5"/>
        <v>31</v>
      </c>
      <c r="E21" s="12">
        <f t="shared" ca="1" si="5"/>
        <v>30</v>
      </c>
      <c r="F21" s="12">
        <f t="shared" ca="1" si="5"/>
        <v>31</v>
      </c>
      <c r="G21" s="12">
        <f t="shared" ca="1" si="5"/>
        <v>30</v>
      </c>
      <c r="H21" s="12">
        <f t="shared" ca="1" si="5"/>
        <v>31</v>
      </c>
      <c r="I21" s="12">
        <f t="shared" ca="1" si="5"/>
        <v>31</v>
      </c>
      <c r="J21" s="12">
        <f t="shared" ca="1" si="5"/>
        <v>30</v>
      </c>
      <c r="K21" s="12">
        <f t="shared" ca="1" si="5"/>
        <v>31</v>
      </c>
      <c r="L21" s="12">
        <f t="shared" ca="1" si="5"/>
        <v>30</v>
      </c>
      <c r="M21" s="12">
        <f t="shared" ca="1" si="5"/>
        <v>31</v>
      </c>
      <c r="N21" s="12">
        <f t="shared" ca="1" si="5"/>
        <v>31</v>
      </c>
      <c r="O21" s="12">
        <f t="shared" ca="1" si="5"/>
        <v>28</v>
      </c>
      <c r="P21" s="12">
        <f t="shared" ca="1" si="5"/>
        <v>31</v>
      </c>
      <c r="Q21" s="12">
        <f t="shared" ca="1" si="5"/>
        <v>30</v>
      </c>
      <c r="R21" s="12">
        <f t="shared" ca="1" si="5"/>
        <v>31</v>
      </c>
      <c r="S21" s="12">
        <f t="shared" ca="1" si="5"/>
        <v>30</v>
      </c>
      <c r="T21" s="12">
        <f t="shared" ca="1" si="5"/>
        <v>31</v>
      </c>
      <c r="U21" s="12">
        <f t="shared" ca="1" si="5"/>
        <v>31</v>
      </c>
      <c r="V21" s="12">
        <f t="shared" ca="1" si="5"/>
        <v>30</v>
      </c>
      <c r="W21" s="12">
        <f t="shared" ca="1" si="5"/>
        <v>31</v>
      </c>
      <c r="X21" s="12">
        <f t="shared" ca="1" si="5"/>
        <v>30</v>
      </c>
      <c r="Y21" s="12">
        <f t="shared" ca="1" si="5"/>
        <v>31</v>
      </c>
      <c r="Z21" s="12">
        <f t="shared" ca="1" si="5"/>
        <v>31</v>
      </c>
      <c r="AA21" s="12">
        <f t="shared" ca="1" si="5"/>
        <v>28</v>
      </c>
      <c r="AB21" s="12">
        <f t="shared" ca="1" si="5"/>
        <v>31</v>
      </c>
      <c r="AC21" s="12">
        <f t="shared" ca="1" si="5"/>
        <v>30</v>
      </c>
      <c r="AD21" s="12">
        <f t="shared" ca="1" si="5"/>
        <v>31</v>
      </c>
      <c r="AE21" s="12">
        <f t="shared" ca="1" si="5"/>
        <v>30</v>
      </c>
      <c r="AF21" s="12">
        <f t="shared" ca="1" si="5"/>
        <v>31</v>
      </c>
      <c r="AG21" s="12">
        <f t="shared" ca="1" si="5"/>
        <v>31</v>
      </c>
      <c r="AH21" s="12">
        <f t="shared" ca="1" si="5"/>
        <v>30</v>
      </c>
      <c r="AI21" s="12">
        <f t="shared" ca="1" si="5"/>
        <v>31</v>
      </c>
      <c r="AJ21" s="12">
        <f t="shared" ca="1" si="5"/>
        <v>30</v>
      </c>
      <c r="AK21" s="12">
        <f t="shared" ca="1" si="5"/>
        <v>31</v>
      </c>
      <c r="AL21" s="12">
        <f t="shared" ca="1" si="5"/>
        <v>31</v>
      </c>
      <c r="AM21" s="12">
        <f t="shared" ca="1" si="5"/>
        <v>28</v>
      </c>
    </row>
    <row r="22" spans="1:39" s="10" customFormat="1" ht="15" customHeight="1" x14ac:dyDescent="0.35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x14ac:dyDescent="0.4">
      <c r="B23" s="1" t="str">
        <f>Assumptions!$B$4</f>
        <v>Example Trading Limited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15" customHeight="1" x14ac:dyDescent="0.35">
      <c r="B24" s="11" t="s">
        <v>109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6" spans="1:39" s="121" customFormat="1" ht="18" customHeight="1" x14ac:dyDescent="0.35">
      <c r="B26" s="120"/>
      <c r="C26" s="53">
        <f ca="1">IF(ISBLANK(Assumptions!$B$5)=TRUE,DATE(YEAR(TODAY()),MONTH(TODAY()),0),DATE(YEAR(Assumptions!$B$5),MONTH(Assumptions!$B$5),0))</f>
        <v>42429</v>
      </c>
      <c r="D26" s="53">
        <f ca="1">IF(ISBLANK(Assumptions!$B$5)=TRUE,DATE(YEAR(TODAY()),MONTH(TODAY())+1,0),DATE(YEAR(Assumptions!$B$5),MONTH(Assumptions!$B$5)+1,0))</f>
        <v>42460</v>
      </c>
      <c r="E26" s="53">
        <f t="shared" ref="E26:AM26" ca="1" si="6">DATE(YEAR(D26),MONTH(D26)+2,0)</f>
        <v>42490</v>
      </c>
      <c r="F26" s="53">
        <f t="shared" ca="1" si="6"/>
        <v>42521</v>
      </c>
      <c r="G26" s="53">
        <f t="shared" ca="1" si="6"/>
        <v>42551</v>
      </c>
      <c r="H26" s="53">
        <f t="shared" ca="1" si="6"/>
        <v>42582</v>
      </c>
      <c r="I26" s="53">
        <f t="shared" ca="1" si="6"/>
        <v>42613</v>
      </c>
      <c r="J26" s="53">
        <f t="shared" ca="1" si="6"/>
        <v>42643</v>
      </c>
      <c r="K26" s="53">
        <f t="shared" ca="1" si="6"/>
        <v>42674</v>
      </c>
      <c r="L26" s="53">
        <f t="shared" ca="1" si="6"/>
        <v>42704</v>
      </c>
      <c r="M26" s="53">
        <f t="shared" ca="1" si="6"/>
        <v>42735</v>
      </c>
      <c r="N26" s="53">
        <f t="shared" ca="1" si="6"/>
        <v>42766</v>
      </c>
      <c r="O26" s="53">
        <f t="shared" ca="1" si="6"/>
        <v>42794</v>
      </c>
      <c r="P26" s="53">
        <f t="shared" ca="1" si="6"/>
        <v>42825</v>
      </c>
      <c r="Q26" s="53">
        <f t="shared" ca="1" si="6"/>
        <v>42855</v>
      </c>
      <c r="R26" s="53">
        <f t="shared" ca="1" si="6"/>
        <v>42886</v>
      </c>
      <c r="S26" s="53">
        <f t="shared" ca="1" si="6"/>
        <v>42916</v>
      </c>
      <c r="T26" s="53">
        <f t="shared" ca="1" si="6"/>
        <v>42947</v>
      </c>
      <c r="U26" s="53">
        <f t="shared" ca="1" si="6"/>
        <v>42978</v>
      </c>
      <c r="V26" s="53">
        <f t="shared" ca="1" si="6"/>
        <v>43008</v>
      </c>
      <c r="W26" s="53">
        <f t="shared" ca="1" si="6"/>
        <v>43039</v>
      </c>
      <c r="X26" s="53">
        <f t="shared" ca="1" si="6"/>
        <v>43069</v>
      </c>
      <c r="Y26" s="53">
        <f t="shared" ca="1" si="6"/>
        <v>43100</v>
      </c>
      <c r="Z26" s="53">
        <f t="shared" ca="1" si="6"/>
        <v>43131</v>
      </c>
      <c r="AA26" s="53">
        <f t="shared" ca="1" si="6"/>
        <v>43159</v>
      </c>
      <c r="AB26" s="53">
        <f t="shared" ca="1" si="6"/>
        <v>43190</v>
      </c>
      <c r="AC26" s="53">
        <f t="shared" ca="1" si="6"/>
        <v>43220</v>
      </c>
      <c r="AD26" s="53">
        <f t="shared" ca="1" si="6"/>
        <v>43251</v>
      </c>
      <c r="AE26" s="53">
        <f t="shared" ca="1" si="6"/>
        <v>43281</v>
      </c>
      <c r="AF26" s="53">
        <f t="shared" ca="1" si="6"/>
        <v>43312</v>
      </c>
      <c r="AG26" s="53">
        <f t="shared" ca="1" si="6"/>
        <v>43343</v>
      </c>
      <c r="AH26" s="53">
        <f t="shared" ca="1" si="6"/>
        <v>43373</v>
      </c>
      <c r="AI26" s="53">
        <f t="shared" ca="1" si="6"/>
        <v>43404</v>
      </c>
      <c r="AJ26" s="53">
        <f t="shared" ca="1" si="6"/>
        <v>43434</v>
      </c>
      <c r="AK26" s="53">
        <f t="shared" ca="1" si="6"/>
        <v>43465</v>
      </c>
      <c r="AL26" s="53">
        <f t="shared" ca="1" si="6"/>
        <v>43496</v>
      </c>
      <c r="AM26" s="53">
        <f t="shared" ca="1" si="6"/>
        <v>43524</v>
      </c>
    </row>
    <row r="27" spans="1:39" s="47" customFormat="1" ht="15" customHeight="1" x14ac:dyDescent="0.35">
      <c r="B27" s="43" t="s">
        <v>37</v>
      </c>
      <c r="C27" s="57"/>
      <c r="D27" s="56"/>
      <c r="E27" s="57"/>
      <c r="F27" s="57"/>
      <c r="G27" s="57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</row>
    <row r="28" spans="1:39" ht="15" customHeight="1" x14ac:dyDescent="0.3">
      <c r="A28" s="124"/>
      <c r="B28" s="3" t="s">
        <v>65</v>
      </c>
      <c r="C28" s="14">
        <f>Assumptions!$B$17</f>
        <v>800000</v>
      </c>
      <c r="D28" s="24">
        <f>C28-Actual!C68-Actual!C38</f>
        <v>787000</v>
      </c>
      <c r="E28" s="24">
        <f>D28-Actual!D68-Actual!D38</f>
        <v>774000</v>
      </c>
      <c r="F28" s="24">
        <f>E28-Actual!E68-Actual!E38</f>
        <v>759900</v>
      </c>
      <c r="G28" s="24">
        <f>F28-Actual!F68-Actual!F38</f>
        <v>745800</v>
      </c>
      <c r="H28" s="24">
        <f>G28-Actual!G68-Actual!G38</f>
        <v>833700</v>
      </c>
      <c r="I28" s="24">
        <f>H28-Actual!H68-Actual!H38</f>
        <v>818300</v>
      </c>
      <c r="J28" s="24">
        <f>I28-Actual!I68-Actual!I38</f>
        <v>802900</v>
      </c>
      <c r="K28" s="24">
        <f>J28-Actual!J68-Actual!J38</f>
        <v>819500</v>
      </c>
      <c r="L28" s="24">
        <f>K28-Actual!K68-Actual!K38</f>
        <v>804100</v>
      </c>
      <c r="M28" s="24">
        <f>L28-Actual!L68-Actual!L38</f>
        <v>788700</v>
      </c>
      <c r="N28" s="24">
        <f>M28-Actual!M68-Actual!M38</f>
        <v>773300</v>
      </c>
      <c r="O28" s="24">
        <f>N28-Actual!N68-Actual!N38</f>
        <v>757900</v>
      </c>
      <c r="P28" s="4">
        <f>O28-Actual!P68-Actual!P38</f>
        <v>807208</v>
      </c>
      <c r="Q28" s="4">
        <f>P28-Actual!Q68-Actual!Q38</f>
        <v>793508</v>
      </c>
      <c r="R28" s="4">
        <f>Q28-Actual!R68-Actual!R38</f>
        <v>779808</v>
      </c>
      <c r="S28" s="4">
        <f>R28-Actual!S68-Actual!S38</f>
        <v>766108</v>
      </c>
      <c r="T28" s="4">
        <f>S28-Actual!T68-Actual!T38</f>
        <v>752408</v>
      </c>
      <c r="U28" s="4">
        <f>T28-Actual!U68-Actual!U38</f>
        <v>738708</v>
      </c>
      <c r="V28" s="4">
        <f>U28-Actual!V68-Actual!V38</f>
        <v>725008</v>
      </c>
      <c r="W28" s="4">
        <f>V28-Actual!W68-Actual!W38</f>
        <v>734788</v>
      </c>
      <c r="X28" s="4">
        <f>W28-Actual!X68-Actual!X38</f>
        <v>720588</v>
      </c>
      <c r="Y28" s="4">
        <f>X28-Actual!Y68-Actual!Y38</f>
        <v>706388</v>
      </c>
      <c r="Z28" s="4">
        <f>Y28-Actual!Z68-Actual!Z38</f>
        <v>692188</v>
      </c>
      <c r="AA28" s="4">
        <f>Z28-Actual!AA68-Actual!AA38</f>
        <v>677988</v>
      </c>
      <c r="AB28" s="4">
        <f>AA28-Actual!AC68-Actual!AC38</f>
        <v>666588</v>
      </c>
      <c r="AC28" s="4">
        <f>AB28-Actual!AD68-Actual!AD38</f>
        <v>734988</v>
      </c>
      <c r="AD28" s="4">
        <f>AC28-Actual!AE68-Actual!AE38</f>
        <v>722188</v>
      </c>
      <c r="AE28" s="4">
        <f>AD28-Actual!AF68-Actual!AF38</f>
        <v>709388</v>
      </c>
      <c r="AF28" s="4">
        <f>AE28-Actual!AG68-Actual!AG38</f>
        <v>696588</v>
      </c>
      <c r="AG28" s="4">
        <f>AF28-Actual!AH68-Actual!AH38</f>
        <v>683788</v>
      </c>
      <c r="AH28" s="4">
        <f>AG28-Actual!AI68-Actual!AI38</f>
        <v>670988</v>
      </c>
      <c r="AI28" s="4">
        <f>AH28-Actual!AJ68-Actual!AJ38</f>
        <v>658188</v>
      </c>
      <c r="AJ28" s="4">
        <f>AI28-Actual!AK68-Actual!AK38</f>
        <v>645388</v>
      </c>
      <c r="AK28" s="4">
        <f>AJ28-Actual!AL68-Actual!AL38</f>
        <v>725388</v>
      </c>
      <c r="AL28" s="4">
        <f>AK28-Actual!AM68-Actual!AM38</f>
        <v>711088</v>
      </c>
      <c r="AM28" s="4">
        <f>AL28-Actual!AN68-Actual!AN38</f>
        <v>696788</v>
      </c>
    </row>
    <row r="29" spans="1:39" ht="15" customHeight="1" x14ac:dyDescent="0.35">
      <c r="B29" s="2" t="s">
        <v>38</v>
      </c>
      <c r="C29" s="125"/>
      <c r="D29" s="24"/>
      <c r="E29" s="4"/>
      <c r="F29" s="4"/>
      <c r="G29" s="4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ht="15" customHeight="1" x14ac:dyDescent="0.3">
      <c r="A30" s="13"/>
      <c r="B30" s="41" t="s">
        <v>27</v>
      </c>
      <c r="C30" s="14">
        <f>Assumptions!$B$18</f>
        <v>140000</v>
      </c>
      <c r="D30" s="24">
        <v>156000</v>
      </c>
      <c r="E30" s="4">
        <v>180000</v>
      </c>
      <c r="F30" s="4">
        <v>165000</v>
      </c>
      <c r="G30" s="4">
        <v>171200</v>
      </c>
      <c r="H30" s="4">
        <v>155000</v>
      </c>
      <c r="I30" s="4">
        <v>165000</v>
      </c>
      <c r="J30" s="4">
        <v>178000</v>
      </c>
      <c r="K30" s="4">
        <v>152000</v>
      </c>
      <c r="L30" s="4">
        <v>170000</v>
      </c>
      <c r="M30" s="4">
        <v>170000</v>
      </c>
      <c r="N30" s="4">
        <v>175000</v>
      </c>
      <c r="O30" s="4">
        <v>160000</v>
      </c>
      <c r="P30" s="4">
        <v>178000</v>
      </c>
      <c r="Q30" s="4">
        <v>165200</v>
      </c>
      <c r="R30" s="4">
        <v>176230</v>
      </c>
      <c r="S30" s="4">
        <v>190000</v>
      </c>
      <c r="T30" s="4">
        <v>178900</v>
      </c>
      <c r="U30" s="4">
        <v>165200</v>
      </c>
      <c r="V30" s="4">
        <v>173000</v>
      </c>
      <c r="W30" s="4">
        <v>176000</v>
      </c>
      <c r="X30" s="4">
        <v>173400</v>
      </c>
      <c r="Y30" s="4">
        <v>180300</v>
      </c>
      <c r="Z30" s="4">
        <v>187600</v>
      </c>
      <c r="AA30" s="4">
        <v>172340</v>
      </c>
      <c r="AB30" s="4">
        <v>187000</v>
      </c>
      <c r="AC30" s="4">
        <v>179200</v>
      </c>
      <c r="AD30" s="4">
        <v>169300</v>
      </c>
      <c r="AE30" s="4">
        <v>183000</v>
      </c>
      <c r="AF30" s="4">
        <v>175200</v>
      </c>
      <c r="AG30" s="4">
        <v>182400</v>
      </c>
      <c r="AH30" s="4">
        <v>198900</v>
      </c>
      <c r="AI30" s="4">
        <v>188000</v>
      </c>
      <c r="AJ30" s="4">
        <v>192000</v>
      </c>
      <c r="AK30" s="4">
        <v>187230</v>
      </c>
      <c r="AL30" s="4">
        <v>176900</v>
      </c>
      <c r="AM30" s="4">
        <v>191230</v>
      </c>
    </row>
    <row r="31" spans="1:39" ht="15" customHeight="1" x14ac:dyDescent="0.3">
      <c r="A31" s="13"/>
      <c r="B31" s="41" t="s">
        <v>89</v>
      </c>
      <c r="C31" s="14">
        <f>Assumptions!$B$19</f>
        <v>250000</v>
      </c>
      <c r="D31" s="24">
        <v>290300</v>
      </c>
      <c r="E31" s="4">
        <v>306000</v>
      </c>
      <c r="F31" s="4">
        <v>315000</v>
      </c>
      <c r="G31" s="4">
        <v>319000</v>
      </c>
      <c r="H31" s="4">
        <v>301002</v>
      </c>
      <c r="I31" s="4">
        <v>308700</v>
      </c>
      <c r="J31" s="4">
        <v>340890</v>
      </c>
      <c r="K31" s="4">
        <v>301972</v>
      </c>
      <c r="L31" s="4">
        <v>324987</v>
      </c>
      <c r="M31" s="4">
        <v>325987</v>
      </c>
      <c r="N31" s="4">
        <v>329106</v>
      </c>
      <c r="O31" s="4">
        <v>299700</v>
      </c>
      <c r="P31" s="4">
        <v>335630</v>
      </c>
      <c r="Q31" s="4">
        <v>318289</v>
      </c>
      <c r="R31" s="4">
        <v>341988</v>
      </c>
      <c r="S31" s="4">
        <v>361088</v>
      </c>
      <c r="T31" s="4">
        <v>352340</v>
      </c>
      <c r="U31" s="4">
        <v>310876</v>
      </c>
      <c r="V31" s="4">
        <v>319563</v>
      </c>
      <c r="W31" s="4">
        <v>331299</v>
      </c>
      <c r="X31" s="4">
        <v>351200</v>
      </c>
      <c r="Y31" s="4">
        <v>346900</v>
      </c>
      <c r="Z31" s="4">
        <v>361077</v>
      </c>
      <c r="AA31" s="4">
        <v>357090</v>
      </c>
      <c r="AB31" s="4">
        <v>357188</v>
      </c>
      <c r="AC31" s="4">
        <v>346781</v>
      </c>
      <c r="AD31" s="4">
        <v>365200</v>
      </c>
      <c r="AE31" s="4">
        <v>378900</v>
      </c>
      <c r="AF31" s="4">
        <v>360300</v>
      </c>
      <c r="AG31" s="4">
        <v>365300</v>
      </c>
      <c r="AH31" s="4">
        <v>397850</v>
      </c>
      <c r="AI31" s="4">
        <v>378900</v>
      </c>
      <c r="AJ31" s="4">
        <v>390200</v>
      </c>
      <c r="AK31" s="4">
        <v>380218</v>
      </c>
      <c r="AL31" s="4">
        <v>390280</v>
      </c>
      <c r="AM31" s="4">
        <v>375400</v>
      </c>
    </row>
    <row r="32" spans="1:39" ht="15" customHeight="1" x14ac:dyDescent="0.3">
      <c r="B32" s="41" t="s">
        <v>39</v>
      </c>
      <c r="C32" s="126">
        <f>Assumptions!$B$20</f>
        <v>21000</v>
      </c>
      <c r="D32" s="24">
        <f ca="1">Actual!C81</f>
        <v>2877.5999999999913</v>
      </c>
      <c r="E32" s="4">
        <f ca="1">Actual!D81</f>
        <v>1902.5939999999828</v>
      </c>
      <c r="F32" s="4">
        <f ca="1">Actual!E81</f>
        <v>30864.743999999977</v>
      </c>
      <c r="G32" s="4">
        <f ca="1">Actual!F81</f>
        <v>-23102.296000000031</v>
      </c>
      <c r="H32" s="4">
        <f ca="1">Actual!G81</f>
        <v>48707.119999999966</v>
      </c>
      <c r="I32" s="4">
        <f ca="1">Actual!H81</f>
        <v>21439.619999999966</v>
      </c>
      <c r="J32" s="4">
        <f ca="1">Actual!I81</f>
        <v>4847.7399999999616</v>
      </c>
      <c r="K32" s="4">
        <f ca="1">Actual!J81</f>
        <v>56311.289999999964</v>
      </c>
      <c r="L32" s="4">
        <f ca="1">Actual!K81</f>
        <v>26739.999999999956</v>
      </c>
      <c r="M32" s="4">
        <f ca="1">Actual!L81</f>
        <v>93357.141999999949</v>
      </c>
      <c r="N32" s="4">
        <f ca="1">Actual!M81</f>
        <v>168367.42699999997</v>
      </c>
      <c r="O32" s="4">
        <f ca="1">Actual!N81</f>
        <v>186200.32699999996</v>
      </c>
      <c r="P32" s="4">
        <f ca="1">Actual!P81</f>
        <v>94348.226999999941</v>
      </c>
      <c r="Q32" s="4">
        <f ca="1">Actual!Q81</f>
        <v>184286.23499999993</v>
      </c>
      <c r="R32" s="4">
        <f ca="1">Actual!R81</f>
        <v>155252.00099999993</v>
      </c>
      <c r="S32" s="4">
        <f ca="1">Actual!S81</f>
        <v>222414.93299999993</v>
      </c>
      <c r="T32" s="4">
        <f ca="1">Actual!T81</f>
        <v>307837.78099999996</v>
      </c>
      <c r="U32" s="4">
        <f ca="1">Actual!U81</f>
        <v>310711.94899999996</v>
      </c>
      <c r="V32" s="4">
        <f ca="1">Actual!V81</f>
        <v>303725.12899999996</v>
      </c>
      <c r="W32" s="4">
        <f ca="1">Actual!W81</f>
        <v>259678.43899999995</v>
      </c>
      <c r="X32" s="4">
        <f ca="1">Actual!X81</f>
        <v>281789.14299999992</v>
      </c>
      <c r="Y32" s="4">
        <f ca="1">Actual!Y81</f>
        <v>253069.44299999994</v>
      </c>
      <c r="Z32" s="4">
        <f ca="1">Actual!Z81</f>
        <v>291116.42899999995</v>
      </c>
      <c r="AA32" s="4">
        <f ca="1">Actual!AA81</f>
        <v>327541.71699999995</v>
      </c>
      <c r="AB32" s="4">
        <f ca="1">Actual!AC81</f>
        <v>351254.43699999992</v>
      </c>
      <c r="AC32" s="4">
        <f ca="1">Actual!AD81</f>
        <v>246214.66699999993</v>
      </c>
      <c r="AD32" s="4">
        <f ca="1">Actual!AE81</f>
        <v>277218.51699999993</v>
      </c>
      <c r="AE32" s="4">
        <f ca="1">Actual!AF81</f>
        <v>273457.96899999992</v>
      </c>
      <c r="AF32" s="4">
        <f ca="1">Actual!AG81</f>
        <v>346697.37699999992</v>
      </c>
      <c r="AG32" s="4">
        <f ca="1">Actual!AH81</f>
        <v>322726.61699999997</v>
      </c>
      <c r="AH32" s="4">
        <f ca="1">Actual!AI81</f>
        <v>306255.05699999997</v>
      </c>
      <c r="AI32" s="4">
        <f ca="1">Actual!AJ81</f>
        <v>405228.63</v>
      </c>
      <c r="AJ32" s="4">
        <f ca="1">Actual!AK81</f>
        <v>368598.08</v>
      </c>
      <c r="AK32" s="4">
        <f ca="1">Actual!AL81</f>
        <v>302759.08</v>
      </c>
      <c r="AL32" s="4">
        <f ca="1">Actual!AM81</f>
        <v>382373.68</v>
      </c>
      <c r="AM32" s="4">
        <f ca="1">Actual!AN81</f>
        <v>338341.98</v>
      </c>
    </row>
    <row r="33" spans="1:39" s="47" customFormat="1" ht="15" customHeight="1" thickBot="1" x14ac:dyDescent="0.4">
      <c r="B33" s="43"/>
      <c r="C33" s="127">
        <f t="shared" ref="C33:AM33" si="7">SUM(C28:C32)</f>
        <v>1211000</v>
      </c>
      <c r="D33" s="60">
        <f t="shared" ca="1" si="7"/>
        <v>1236177.6000000001</v>
      </c>
      <c r="E33" s="60">
        <f t="shared" ca="1" si="7"/>
        <v>1261902.594</v>
      </c>
      <c r="F33" s="60">
        <f t="shared" ca="1" si="7"/>
        <v>1270764.7439999999</v>
      </c>
      <c r="G33" s="60">
        <f t="shared" ca="1" si="7"/>
        <v>1212897.7039999999</v>
      </c>
      <c r="H33" s="60">
        <f t="shared" ca="1" si="7"/>
        <v>1338409.1199999999</v>
      </c>
      <c r="I33" s="60">
        <f t="shared" ca="1" si="7"/>
        <v>1313439.6199999999</v>
      </c>
      <c r="J33" s="60">
        <f t="shared" ca="1" si="7"/>
        <v>1326637.74</v>
      </c>
      <c r="K33" s="60">
        <f t="shared" ca="1" si="7"/>
        <v>1329783.29</v>
      </c>
      <c r="L33" s="60">
        <f t="shared" ca="1" si="7"/>
        <v>1325827</v>
      </c>
      <c r="M33" s="60">
        <f t="shared" ca="1" si="7"/>
        <v>1378044.142</v>
      </c>
      <c r="N33" s="60">
        <f t="shared" ca="1" si="7"/>
        <v>1445773.4269999999</v>
      </c>
      <c r="O33" s="60">
        <f t="shared" ca="1" si="7"/>
        <v>1403800.327</v>
      </c>
      <c r="P33" s="60">
        <f t="shared" ca="1" si="7"/>
        <v>1415186.227</v>
      </c>
      <c r="Q33" s="60">
        <f t="shared" ca="1" si="7"/>
        <v>1461283.2349999999</v>
      </c>
      <c r="R33" s="60">
        <f t="shared" ca="1" si="7"/>
        <v>1453278.0009999999</v>
      </c>
      <c r="S33" s="60">
        <f t="shared" ca="1" si="7"/>
        <v>1539610.933</v>
      </c>
      <c r="T33" s="60">
        <f t="shared" ca="1" si="7"/>
        <v>1591485.781</v>
      </c>
      <c r="U33" s="60">
        <f t="shared" ca="1" si="7"/>
        <v>1525495.949</v>
      </c>
      <c r="V33" s="60">
        <f t="shared" ca="1" si="7"/>
        <v>1521296.129</v>
      </c>
      <c r="W33" s="60">
        <f t="shared" ca="1" si="7"/>
        <v>1501765.439</v>
      </c>
      <c r="X33" s="60">
        <f t="shared" ca="1" si="7"/>
        <v>1526977.1429999999</v>
      </c>
      <c r="Y33" s="60">
        <f t="shared" ca="1" si="7"/>
        <v>1486657.443</v>
      </c>
      <c r="Z33" s="60">
        <f t="shared" ca="1" si="7"/>
        <v>1531981.429</v>
      </c>
      <c r="AA33" s="60">
        <f t="shared" ca="1" si="7"/>
        <v>1534959.7169999999</v>
      </c>
      <c r="AB33" s="60">
        <f t="shared" ca="1" si="7"/>
        <v>1562030.4369999999</v>
      </c>
      <c r="AC33" s="60">
        <f t="shared" ca="1" si="7"/>
        <v>1507183.6669999999</v>
      </c>
      <c r="AD33" s="60">
        <f t="shared" ca="1" si="7"/>
        <v>1533906.517</v>
      </c>
      <c r="AE33" s="60">
        <f t="shared" ca="1" si="7"/>
        <v>1544745.969</v>
      </c>
      <c r="AF33" s="60">
        <f t="shared" ca="1" si="7"/>
        <v>1578785.3769999999</v>
      </c>
      <c r="AG33" s="60">
        <f t="shared" ca="1" si="7"/>
        <v>1554214.6170000001</v>
      </c>
      <c r="AH33" s="60">
        <f t="shared" ca="1" si="7"/>
        <v>1573993.057</v>
      </c>
      <c r="AI33" s="60">
        <f t="shared" ca="1" si="7"/>
        <v>1630316.63</v>
      </c>
      <c r="AJ33" s="60">
        <f t="shared" ca="1" si="7"/>
        <v>1596186.08</v>
      </c>
      <c r="AK33" s="60">
        <f t="shared" ca="1" si="7"/>
        <v>1595595.08</v>
      </c>
      <c r="AL33" s="60">
        <f t="shared" ca="1" si="7"/>
        <v>1660641.68</v>
      </c>
      <c r="AM33" s="60">
        <f t="shared" ca="1" si="7"/>
        <v>1601759.98</v>
      </c>
    </row>
    <row r="34" spans="1:39" ht="15" customHeight="1" thickTop="1" x14ac:dyDescent="0.35">
      <c r="B34" s="43" t="s">
        <v>40</v>
      </c>
      <c r="C34" s="4"/>
      <c r="D34" s="4"/>
      <c r="E34" s="4"/>
      <c r="F34" s="4"/>
      <c r="G34" s="4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ht="15" customHeight="1" x14ac:dyDescent="0.3">
      <c r="A35" s="13"/>
      <c r="B35" s="3" t="s">
        <v>66</v>
      </c>
      <c r="C35" s="14">
        <f>-Assumptions!$B$21</f>
        <v>1000</v>
      </c>
      <c r="D35" s="4">
        <v>1000</v>
      </c>
      <c r="E35" s="4">
        <v>1000</v>
      </c>
      <c r="F35" s="4">
        <v>1500</v>
      </c>
      <c r="G35" s="4">
        <v>1500</v>
      </c>
      <c r="H35" s="4">
        <v>1500</v>
      </c>
      <c r="I35" s="4">
        <v>1500</v>
      </c>
      <c r="J35" s="4">
        <v>1500</v>
      </c>
      <c r="K35" s="4">
        <v>1500</v>
      </c>
      <c r="L35" s="4">
        <v>1500</v>
      </c>
      <c r="M35" s="4">
        <v>1500</v>
      </c>
      <c r="N35" s="4">
        <v>1500</v>
      </c>
      <c r="O35" s="4">
        <v>1500</v>
      </c>
      <c r="P35" s="4">
        <v>1500</v>
      </c>
      <c r="Q35" s="4">
        <v>1500</v>
      </c>
      <c r="R35" s="4">
        <v>1500</v>
      </c>
      <c r="S35" s="4">
        <v>1500</v>
      </c>
      <c r="T35" s="4">
        <v>1500</v>
      </c>
      <c r="U35" s="4">
        <v>1500</v>
      </c>
      <c r="V35" s="4">
        <v>1500</v>
      </c>
      <c r="W35" s="4">
        <v>1500</v>
      </c>
      <c r="X35" s="4">
        <v>1500</v>
      </c>
      <c r="Y35" s="4">
        <v>1500</v>
      </c>
      <c r="Z35" s="4">
        <v>1500</v>
      </c>
      <c r="AA35" s="4">
        <v>1500</v>
      </c>
      <c r="AB35" s="4">
        <v>1500</v>
      </c>
      <c r="AC35" s="4">
        <v>1500</v>
      </c>
      <c r="AD35" s="4">
        <v>1500</v>
      </c>
      <c r="AE35" s="4">
        <v>1500</v>
      </c>
      <c r="AF35" s="4">
        <v>1500</v>
      </c>
      <c r="AG35" s="4">
        <v>1500</v>
      </c>
      <c r="AH35" s="4">
        <v>1500</v>
      </c>
      <c r="AI35" s="4">
        <v>1500</v>
      </c>
      <c r="AJ35" s="4">
        <v>1500</v>
      </c>
      <c r="AK35" s="4">
        <v>1500</v>
      </c>
      <c r="AL35" s="4">
        <v>1500</v>
      </c>
      <c r="AM35" s="4">
        <v>1500</v>
      </c>
    </row>
    <row r="36" spans="1:39" ht="15" customHeight="1" x14ac:dyDescent="0.3">
      <c r="B36" s="3" t="s">
        <v>41</v>
      </c>
      <c r="C36" s="14">
        <f>-Assumptions!$B$22</f>
        <v>0</v>
      </c>
      <c r="D36" s="4">
        <f ca="1">C36+Actual!C45</f>
        <v>26642.599999999991</v>
      </c>
      <c r="E36" s="4">
        <f ca="1">D36+Actual!D45</f>
        <v>64390.593999999983</v>
      </c>
      <c r="F36" s="4">
        <f ca="1">E36+Actual!E45</f>
        <v>88480.743999999977</v>
      </c>
      <c r="G36" s="4">
        <f ca="1">F36+Actual!F45</f>
        <v>55867.703999999969</v>
      </c>
      <c r="H36" s="4">
        <f ca="1">G36+Actual!G45</f>
        <v>82991.119999999966</v>
      </c>
      <c r="I36" s="4">
        <f ca="1">H36+Actual!H45</f>
        <v>101099.61999999997</v>
      </c>
      <c r="J36" s="4">
        <f ca="1">I36+Actual!I45</f>
        <v>138739.73999999996</v>
      </c>
      <c r="K36" s="4">
        <f ca="1">J36+Actual!J45</f>
        <v>133361.28999999998</v>
      </c>
      <c r="L36" s="4">
        <f ca="1">K36+Actual!K45</f>
        <v>160236.99999999997</v>
      </c>
      <c r="M36" s="4">
        <f ca="1">L36+Actual!L45</f>
        <v>199466.14199999996</v>
      </c>
      <c r="N36" s="4">
        <f ca="1">M36+Actual!M45</f>
        <v>243247.42699999997</v>
      </c>
      <c r="O36" s="4">
        <f ca="1">N36+Actual!N45</f>
        <v>286382.32699999993</v>
      </c>
      <c r="P36" s="4">
        <f ca="1">O36+Actual!P45</f>
        <v>316590.22699999996</v>
      </c>
      <c r="Q36" s="4">
        <f ca="1">P36+Actual!Q45</f>
        <v>329782.23499999999</v>
      </c>
      <c r="R36" s="4">
        <f ca="1">Q36+Actual!R45</f>
        <v>366905.00099999999</v>
      </c>
      <c r="S36" s="4">
        <f ca="1">R36+Actual!S45</f>
        <v>395350.93299999996</v>
      </c>
      <c r="T36" s="4">
        <f ca="1">S36+Actual!T45</f>
        <v>434915.78099999996</v>
      </c>
      <c r="U36" s="4">
        <f ca="1">T36+Actual!U45</f>
        <v>440065.94899999996</v>
      </c>
      <c r="V36" s="4">
        <f ca="1">U36+Actual!V45</f>
        <v>448278.12899999996</v>
      </c>
      <c r="W36" s="4">
        <f ca="1">V36+Actual!W45</f>
        <v>455887.43899999995</v>
      </c>
      <c r="X36" s="4">
        <f ca="1">W36+Actual!X45</f>
        <v>484524.14299999992</v>
      </c>
      <c r="Y36" s="4">
        <f ca="1">X36+Actual!Y45</f>
        <v>474136.44299999997</v>
      </c>
      <c r="Z36" s="4">
        <f ca="1">Y36+Actual!Z45</f>
        <v>520621.429</v>
      </c>
      <c r="AA36" s="4">
        <f ca="1">Z36+Actual!AA45</f>
        <v>559490.71699999995</v>
      </c>
      <c r="AB36" s="4">
        <f ca="1">AA36+Actual!AC45</f>
        <v>585104.43699999992</v>
      </c>
      <c r="AC36" s="4">
        <f ca="1">AB36+Actual!AD45</f>
        <v>584035.6669999999</v>
      </c>
      <c r="AD36" s="4">
        <f ca="1">AC36+Actual!AE45</f>
        <v>601275.51699999988</v>
      </c>
      <c r="AE36" s="4">
        <f ca="1">AD36+Actual!AF45</f>
        <v>618370.96899999981</v>
      </c>
      <c r="AF36" s="4">
        <f ca="1">AE36+Actual!AG45</f>
        <v>606465.37699999986</v>
      </c>
      <c r="AG36" s="4">
        <f ca="1">AF36+Actual!AH45</f>
        <v>623557.61699999985</v>
      </c>
      <c r="AH36" s="4">
        <f ca="1">AG36+Actual!AI45</f>
        <v>643236.0569999998</v>
      </c>
      <c r="AI36" s="4">
        <f ca="1">AH36+Actual!AJ45</f>
        <v>683510.62999999977</v>
      </c>
      <c r="AJ36" s="4">
        <f ca="1">AI36+Actual!AK45</f>
        <v>698620.07999999984</v>
      </c>
      <c r="AK36" s="4">
        <f ca="1">AJ36+Actual!AL45</f>
        <v>712102.07999999984</v>
      </c>
      <c r="AL36" s="4">
        <f ca="1">AK36+Actual!AM45</f>
        <v>747135.67999999982</v>
      </c>
      <c r="AM36" s="4">
        <f ca="1">AL36+Actual!AN45</f>
        <v>777384.97999999975</v>
      </c>
    </row>
    <row r="37" spans="1:39" s="8" customFormat="1" ht="15" customHeight="1" x14ac:dyDescent="0.3">
      <c r="A37" s="13"/>
      <c r="B37" s="6" t="s">
        <v>45</v>
      </c>
      <c r="C37" s="14">
        <f>-Assumptions!$B$23</f>
        <v>1100000</v>
      </c>
      <c r="D37" s="7">
        <v>1085795</v>
      </c>
      <c r="E37" s="7">
        <v>1071471</v>
      </c>
      <c r="F37" s="7">
        <v>1057029</v>
      </c>
      <c r="G37" s="7">
        <v>1042467</v>
      </c>
      <c r="H37" s="7">
        <v>1116619</v>
      </c>
      <c r="I37" s="7">
        <v>1100640</v>
      </c>
      <c r="J37" s="7">
        <v>1084528</v>
      </c>
      <c r="K37" s="7">
        <v>1068282</v>
      </c>
      <c r="L37" s="7">
        <v>1051900</v>
      </c>
      <c r="M37" s="7">
        <v>1035382</v>
      </c>
      <c r="N37" s="7">
        <v>1018726</v>
      </c>
      <c r="O37" s="7">
        <v>1001931</v>
      </c>
      <c r="P37" s="7">
        <v>984997</v>
      </c>
      <c r="Q37" s="7">
        <v>967921</v>
      </c>
      <c r="R37" s="7">
        <v>950703</v>
      </c>
      <c r="S37" s="7">
        <v>992567</v>
      </c>
      <c r="T37" s="7">
        <v>974280</v>
      </c>
      <c r="U37" s="7">
        <v>955840</v>
      </c>
      <c r="V37" s="7">
        <v>937246</v>
      </c>
      <c r="W37" s="7">
        <v>918498</v>
      </c>
      <c r="X37" s="7">
        <v>899593</v>
      </c>
      <c r="Y37" s="7">
        <v>880531</v>
      </c>
      <c r="Z37" s="7">
        <v>861310</v>
      </c>
      <c r="AA37" s="7">
        <v>841929</v>
      </c>
      <c r="AB37" s="7">
        <v>822386</v>
      </c>
      <c r="AC37" s="7">
        <v>802680</v>
      </c>
      <c r="AD37" s="7">
        <v>782811</v>
      </c>
      <c r="AE37" s="7">
        <v>762775</v>
      </c>
      <c r="AF37" s="7">
        <v>821540</v>
      </c>
      <c r="AG37" s="7">
        <v>800127</v>
      </c>
      <c r="AH37" s="7">
        <v>778537</v>
      </c>
      <c r="AI37" s="7">
        <v>756766</v>
      </c>
      <c r="AJ37" s="7">
        <v>734814</v>
      </c>
      <c r="AK37" s="7">
        <v>712678</v>
      </c>
      <c r="AL37" s="7">
        <v>719971</v>
      </c>
      <c r="AM37" s="7">
        <v>697075</v>
      </c>
    </row>
    <row r="38" spans="1:39" ht="15" customHeight="1" x14ac:dyDescent="0.35">
      <c r="B38" s="11" t="s">
        <v>42</v>
      </c>
      <c r="C38" s="4"/>
      <c r="D38" s="4"/>
      <c r="E38" s="4"/>
      <c r="F38" s="4"/>
      <c r="G38" s="4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ht="15" customHeight="1" x14ac:dyDescent="0.3">
      <c r="A39" s="13"/>
      <c r="B39" s="3" t="s">
        <v>90</v>
      </c>
      <c r="C39" s="14">
        <f>-Assumptions!$B$24</f>
        <v>110000</v>
      </c>
      <c r="D39" s="4">
        <v>112380</v>
      </c>
      <c r="E39" s="4">
        <v>100001</v>
      </c>
      <c r="F39" s="4">
        <v>89345</v>
      </c>
      <c r="G39" s="4">
        <v>78653</v>
      </c>
      <c r="H39" s="4">
        <v>102889</v>
      </c>
      <c r="I39" s="4">
        <v>110200</v>
      </c>
      <c r="J39" s="4">
        <v>87230</v>
      </c>
      <c r="K39" s="4">
        <v>112000</v>
      </c>
      <c r="L39" s="4">
        <v>89200</v>
      </c>
      <c r="M39" s="4">
        <v>103456</v>
      </c>
      <c r="N39" s="4">
        <v>127030</v>
      </c>
      <c r="O39" s="4">
        <v>113987</v>
      </c>
      <c r="P39" s="4">
        <v>100349</v>
      </c>
      <c r="Q39" s="4">
        <v>145200</v>
      </c>
      <c r="R39" s="4">
        <v>102860</v>
      </c>
      <c r="S39" s="4">
        <v>107823</v>
      </c>
      <c r="T39" s="4">
        <v>123040</v>
      </c>
      <c r="U39" s="4">
        <v>128090</v>
      </c>
      <c r="V39" s="4">
        <v>131082</v>
      </c>
      <c r="W39" s="4">
        <v>119730</v>
      </c>
      <c r="X39" s="4">
        <v>124070</v>
      </c>
      <c r="Y39" s="4">
        <v>113200</v>
      </c>
      <c r="Z39" s="4">
        <v>117230</v>
      </c>
      <c r="AA39" s="4">
        <v>132040</v>
      </c>
      <c r="AB39" s="4">
        <v>143080</v>
      </c>
      <c r="AC39" s="4">
        <v>109008</v>
      </c>
      <c r="AD39" s="4">
        <v>132070</v>
      </c>
      <c r="AE39" s="4">
        <v>139200</v>
      </c>
      <c r="AF39" s="4">
        <v>126380</v>
      </c>
      <c r="AG39" s="4">
        <v>129030</v>
      </c>
      <c r="AH39" s="4">
        <v>143070</v>
      </c>
      <c r="AI39" s="4">
        <v>165230</v>
      </c>
      <c r="AJ39" s="4">
        <v>132072</v>
      </c>
      <c r="AK39" s="4">
        <v>134895</v>
      </c>
      <c r="AL39" s="4">
        <v>143985</v>
      </c>
      <c r="AM39" s="4">
        <v>125800</v>
      </c>
    </row>
    <row r="40" spans="1:39" ht="15" customHeight="1" x14ac:dyDescent="0.3">
      <c r="A40" s="13"/>
      <c r="B40" s="3" t="s">
        <v>56</v>
      </c>
      <c r="C40" s="14">
        <f>-Assumptions!B25</f>
        <v>0</v>
      </c>
      <c r="D40" s="4">
        <v>10360</v>
      </c>
      <c r="E40" s="4">
        <v>25040</v>
      </c>
      <c r="F40" s="4">
        <v>34410</v>
      </c>
      <c r="G40" s="4">
        <v>34410</v>
      </c>
      <c r="H40" s="4">
        <v>34410</v>
      </c>
      <c r="I40" s="4">
        <v>0</v>
      </c>
      <c r="J40" s="4">
        <v>14640</v>
      </c>
      <c r="K40" s="4">
        <v>14640</v>
      </c>
      <c r="L40" s="4">
        <v>22990</v>
      </c>
      <c r="M40" s="4">
        <v>38240</v>
      </c>
      <c r="N40" s="4">
        <v>55270</v>
      </c>
      <c r="O40" s="4">
        <v>0</v>
      </c>
      <c r="P40" s="4">
        <v>11750</v>
      </c>
      <c r="Q40" s="4">
        <v>16880</v>
      </c>
      <c r="R40" s="4">
        <v>31310</v>
      </c>
      <c r="S40" s="4">
        <v>42370</v>
      </c>
      <c r="T40" s="4">
        <v>57750</v>
      </c>
      <c r="U40" s="4">
        <v>0</v>
      </c>
      <c r="V40" s="4">
        <v>3190</v>
      </c>
      <c r="W40" s="4">
        <v>6150</v>
      </c>
      <c r="X40" s="4">
        <v>17290</v>
      </c>
      <c r="Y40" s="4">
        <v>17290</v>
      </c>
      <c r="Z40" s="4">
        <v>31320</v>
      </c>
      <c r="AA40" s="4">
        <v>0</v>
      </c>
      <c r="AB40" s="4">
        <v>9960</v>
      </c>
      <c r="AC40" s="4">
        <v>9960</v>
      </c>
      <c r="AD40" s="4">
        <v>16250</v>
      </c>
      <c r="AE40" s="4">
        <v>22900</v>
      </c>
      <c r="AF40" s="4">
        <v>22900</v>
      </c>
      <c r="AG40" s="4">
        <v>0</v>
      </c>
      <c r="AH40" s="4">
        <v>7650</v>
      </c>
      <c r="AI40" s="4">
        <v>23310</v>
      </c>
      <c r="AJ40" s="4">
        <v>29180</v>
      </c>
      <c r="AK40" s="4">
        <v>34420</v>
      </c>
      <c r="AL40" s="4">
        <v>48050</v>
      </c>
      <c r="AM40" s="4">
        <v>0</v>
      </c>
    </row>
    <row r="41" spans="1:39" s="47" customFormat="1" ht="15" customHeight="1" thickBot="1" x14ac:dyDescent="0.4">
      <c r="B41" s="43"/>
      <c r="C41" s="60">
        <f t="shared" ref="C41:AM41" si="8">SUM(C35:C40)</f>
        <v>1211000</v>
      </c>
      <c r="D41" s="60">
        <f t="shared" ca="1" si="8"/>
        <v>1236177.6000000001</v>
      </c>
      <c r="E41" s="60">
        <f t="shared" ca="1" si="8"/>
        <v>1261902.594</v>
      </c>
      <c r="F41" s="60">
        <f t="shared" ca="1" si="8"/>
        <v>1270764.7439999999</v>
      </c>
      <c r="G41" s="60">
        <f t="shared" ca="1" si="8"/>
        <v>1212897.7039999999</v>
      </c>
      <c r="H41" s="60">
        <f t="shared" ca="1" si="8"/>
        <v>1338409.1199999999</v>
      </c>
      <c r="I41" s="60">
        <f t="shared" ca="1" si="8"/>
        <v>1313439.6199999999</v>
      </c>
      <c r="J41" s="60">
        <f t="shared" ca="1" si="8"/>
        <v>1326637.74</v>
      </c>
      <c r="K41" s="60">
        <f t="shared" ca="1" si="8"/>
        <v>1329783.29</v>
      </c>
      <c r="L41" s="60">
        <f t="shared" ca="1" si="8"/>
        <v>1325827</v>
      </c>
      <c r="M41" s="60">
        <f t="shared" ca="1" si="8"/>
        <v>1378044.142</v>
      </c>
      <c r="N41" s="60">
        <f t="shared" ca="1" si="8"/>
        <v>1445773.4269999999</v>
      </c>
      <c r="O41" s="60">
        <f t="shared" ca="1" si="8"/>
        <v>1403800.327</v>
      </c>
      <c r="P41" s="60">
        <f t="shared" ca="1" si="8"/>
        <v>1415186.227</v>
      </c>
      <c r="Q41" s="60">
        <f t="shared" ca="1" si="8"/>
        <v>1461283.2349999999</v>
      </c>
      <c r="R41" s="60">
        <f t="shared" ca="1" si="8"/>
        <v>1453278.0009999999</v>
      </c>
      <c r="S41" s="60">
        <f t="shared" ca="1" si="8"/>
        <v>1539610.933</v>
      </c>
      <c r="T41" s="60">
        <f t="shared" ca="1" si="8"/>
        <v>1591485.781</v>
      </c>
      <c r="U41" s="60">
        <f t="shared" ca="1" si="8"/>
        <v>1525495.949</v>
      </c>
      <c r="V41" s="60">
        <f t="shared" ca="1" si="8"/>
        <v>1521296.129</v>
      </c>
      <c r="W41" s="60">
        <f t="shared" ca="1" si="8"/>
        <v>1501765.439</v>
      </c>
      <c r="X41" s="60">
        <f t="shared" ca="1" si="8"/>
        <v>1526977.1429999999</v>
      </c>
      <c r="Y41" s="60">
        <f t="shared" ca="1" si="8"/>
        <v>1486657.443</v>
      </c>
      <c r="Z41" s="60">
        <f t="shared" ca="1" si="8"/>
        <v>1531981.429</v>
      </c>
      <c r="AA41" s="60">
        <f t="shared" ca="1" si="8"/>
        <v>1534959.7169999999</v>
      </c>
      <c r="AB41" s="60">
        <f t="shared" ca="1" si="8"/>
        <v>1562030.4369999999</v>
      </c>
      <c r="AC41" s="60">
        <f t="shared" ca="1" si="8"/>
        <v>1507183.6669999999</v>
      </c>
      <c r="AD41" s="60">
        <f t="shared" ca="1" si="8"/>
        <v>1533906.517</v>
      </c>
      <c r="AE41" s="60">
        <f t="shared" ca="1" si="8"/>
        <v>1544745.9689999998</v>
      </c>
      <c r="AF41" s="60">
        <f t="shared" ca="1" si="8"/>
        <v>1578785.3769999999</v>
      </c>
      <c r="AG41" s="60">
        <f t="shared" ca="1" si="8"/>
        <v>1554214.6169999999</v>
      </c>
      <c r="AH41" s="60">
        <f t="shared" ca="1" si="8"/>
        <v>1573993.0569999998</v>
      </c>
      <c r="AI41" s="60">
        <f t="shared" ca="1" si="8"/>
        <v>1630316.63</v>
      </c>
      <c r="AJ41" s="60">
        <f t="shared" ca="1" si="8"/>
        <v>1596186.0799999998</v>
      </c>
      <c r="AK41" s="60">
        <f t="shared" ca="1" si="8"/>
        <v>1595595.0799999998</v>
      </c>
      <c r="AL41" s="60">
        <f t="shared" ca="1" si="8"/>
        <v>1660641.6799999997</v>
      </c>
      <c r="AM41" s="60">
        <f t="shared" ca="1" si="8"/>
        <v>1601759.9799999997</v>
      </c>
    </row>
    <row r="42" spans="1:39" s="15" customFormat="1" ht="15" customHeight="1" thickTop="1" x14ac:dyDescent="0.3">
      <c r="B42" s="61"/>
      <c r="C42" s="123"/>
      <c r="D42" s="123"/>
      <c r="E42" s="123"/>
      <c r="F42" s="123"/>
    </row>
    <row r="43" spans="1:39" s="108" customFormat="1" ht="15" customHeight="1" x14ac:dyDescent="0.3">
      <c r="B43" s="104" t="s">
        <v>110</v>
      </c>
      <c r="C43" s="106" t="str">
        <f>IF(ROUND(C33-C41,0)=0,"ok","error")</f>
        <v>ok</v>
      </c>
      <c r="D43" s="106" t="str">
        <f t="shared" ref="D43:AM43" ca="1" si="9">IF(ROUND(D33-D41,0)=0,"ok","error")</f>
        <v>ok</v>
      </c>
      <c r="E43" s="106" t="str">
        <f t="shared" ca="1" si="9"/>
        <v>ok</v>
      </c>
      <c r="F43" s="106" t="str">
        <f t="shared" ca="1" si="9"/>
        <v>ok</v>
      </c>
      <c r="G43" s="106" t="str">
        <f t="shared" ca="1" si="9"/>
        <v>ok</v>
      </c>
      <c r="H43" s="106" t="str">
        <f t="shared" ca="1" si="9"/>
        <v>ok</v>
      </c>
      <c r="I43" s="106" t="str">
        <f t="shared" ca="1" si="9"/>
        <v>ok</v>
      </c>
      <c r="J43" s="106" t="str">
        <f t="shared" ca="1" si="9"/>
        <v>ok</v>
      </c>
      <c r="K43" s="106" t="str">
        <f t="shared" ca="1" si="9"/>
        <v>ok</v>
      </c>
      <c r="L43" s="106" t="str">
        <f t="shared" ca="1" si="9"/>
        <v>ok</v>
      </c>
      <c r="M43" s="106" t="str">
        <f t="shared" ca="1" si="9"/>
        <v>ok</v>
      </c>
      <c r="N43" s="106" t="str">
        <f t="shared" ca="1" si="9"/>
        <v>ok</v>
      </c>
      <c r="O43" s="106" t="str">
        <f t="shared" ca="1" si="9"/>
        <v>ok</v>
      </c>
      <c r="P43" s="106" t="str">
        <f t="shared" ca="1" si="9"/>
        <v>ok</v>
      </c>
      <c r="Q43" s="106" t="str">
        <f t="shared" ca="1" si="9"/>
        <v>ok</v>
      </c>
      <c r="R43" s="106" t="str">
        <f t="shared" ca="1" si="9"/>
        <v>ok</v>
      </c>
      <c r="S43" s="106" t="str">
        <f t="shared" ca="1" si="9"/>
        <v>ok</v>
      </c>
      <c r="T43" s="106" t="str">
        <f t="shared" ca="1" si="9"/>
        <v>ok</v>
      </c>
      <c r="U43" s="106" t="str">
        <f t="shared" ca="1" si="9"/>
        <v>ok</v>
      </c>
      <c r="V43" s="106" t="str">
        <f t="shared" ca="1" si="9"/>
        <v>ok</v>
      </c>
      <c r="W43" s="106" t="str">
        <f t="shared" ca="1" si="9"/>
        <v>ok</v>
      </c>
      <c r="X43" s="106" t="str">
        <f t="shared" ca="1" si="9"/>
        <v>ok</v>
      </c>
      <c r="Y43" s="106" t="str">
        <f t="shared" ca="1" si="9"/>
        <v>ok</v>
      </c>
      <c r="Z43" s="106" t="str">
        <f t="shared" ca="1" si="9"/>
        <v>ok</v>
      </c>
      <c r="AA43" s="106" t="str">
        <f t="shared" ca="1" si="9"/>
        <v>ok</v>
      </c>
      <c r="AB43" s="106" t="str">
        <f t="shared" ca="1" si="9"/>
        <v>ok</v>
      </c>
      <c r="AC43" s="106" t="str">
        <f t="shared" ca="1" si="9"/>
        <v>ok</v>
      </c>
      <c r="AD43" s="106" t="str">
        <f t="shared" ca="1" si="9"/>
        <v>ok</v>
      </c>
      <c r="AE43" s="106" t="str">
        <f t="shared" ca="1" si="9"/>
        <v>ok</v>
      </c>
      <c r="AF43" s="106" t="str">
        <f t="shared" ca="1" si="9"/>
        <v>ok</v>
      </c>
      <c r="AG43" s="106" t="str">
        <f t="shared" ca="1" si="9"/>
        <v>ok</v>
      </c>
      <c r="AH43" s="106" t="str">
        <f t="shared" ca="1" si="9"/>
        <v>ok</v>
      </c>
      <c r="AI43" s="106" t="str">
        <f t="shared" ca="1" si="9"/>
        <v>ok</v>
      </c>
      <c r="AJ43" s="106" t="str">
        <f t="shared" ca="1" si="9"/>
        <v>ok</v>
      </c>
      <c r="AK43" s="106" t="str">
        <f t="shared" ca="1" si="9"/>
        <v>ok</v>
      </c>
      <c r="AL43" s="106" t="str">
        <f t="shared" ca="1" si="9"/>
        <v>ok</v>
      </c>
      <c r="AM43" s="106" t="str">
        <f t="shared" ca="1" si="9"/>
        <v>ok</v>
      </c>
    </row>
    <row r="46" spans="1:39" ht="15" customHeight="1" x14ac:dyDescent="0.3"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</row>
  </sheetData>
  <phoneticPr fontId="3" type="noConversion"/>
  <pageMargins left="0.55118110236220474" right="0.55118110236220474" top="0.59055118110236227" bottom="0.59055118110236227" header="0.39370078740157483" footer="0.39370078740157483"/>
  <pageSetup paperSize="9" scale="65" fitToWidth="3" orientation="landscape" r:id="rId1"/>
  <headerFooter alignWithMargins="0">
    <oddFooter>&amp;C&amp;9Page &amp;P of &amp;N</oddFooter>
  </headerFooter>
  <colBreaks count="2" manualBreakCount="2">
    <brk id="15" max="1048575" man="1"/>
    <brk id="2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9"/>
  <sheetViews>
    <sheetView zoomScale="95" workbookViewId="0">
      <pane ySplit="8" topLeftCell="A9" activePane="bottomLeft" state="frozen"/>
      <selection pane="bottomLeft" activeCell="B4" sqref="B4"/>
    </sheetView>
  </sheetViews>
  <sheetFormatPr defaultColWidth="9.1328125" defaultRowHeight="15" customHeight="1" x14ac:dyDescent="0.3"/>
  <cols>
    <col min="1" max="1" width="15.73046875" style="130" customWidth="1"/>
    <col min="2" max="7" width="13.73046875" style="29" customWidth="1"/>
    <col min="8" max="20" width="15.73046875" style="5" customWidth="1"/>
    <col min="21" max="16384" width="9.1328125" style="5"/>
  </cols>
  <sheetData>
    <row r="1" spans="1:7" x14ac:dyDescent="0.4">
      <c r="A1" s="1" t="str">
        <f>Assumptions!$B$4</f>
        <v>Example Trading Limited</v>
      </c>
    </row>
    <row r="2" spans="1:7" ht="15" customHeight="1" x14ac:dyDescent="0.35">
      <c r="A2" s="11" t="s">
        <v>111</v>
      </c>
      <c r="B2" s="16"/>
      <c r="C2" s="16"/>
      <c r="G2" s="129"/>
    </row>
    <row r="4" spans="1:7" ht="15" customHeight="1" x14ac:dyDescent="0.3">
      <c r="A4" s="130" t="s">
        <v>35</v>
      </c>
      <c r="B4" s="170">
        <f>Assumptions!$B$27</f>
        <v>0.105</v>
      </c>
      <c r="C4" s="131"/>
    </row>
    <row r="5" spans="1:7" ht="15" customHeight="1" x14ac:dyDescent="0.3">
      <c r="A5" s="132" t="s">
        <v>46</v>
      </c>
      <c r="B5" s="133">
        <f>Assumptions!$B$28</f>
        <v>5</v>
      </c>
      <c r="C5" s="134"/>
    </row>
    <row r="6" spans="1:7" ht="15" customHeight="1" x14ac:dyDescent="0.3">
      <c r="A6" s="132" t="s">
        <v>48</v>
      </c>
      <c r="B6" s="135" t="str">
        <f>Assumptions!B29</f>
        <v>No</v>
      </c>
      <c r="C6" s="136"/>
    </row>
    <row r="7" spans="1:7" ht="15" customHeight="1" x14ac:dyDescent="0.3">
      <c r="A7" s="44" t="s">
        <v>76</v>
      </c>
    </row>
    <row r="8" spans="1:7" s="121" customFormat="1" ht="24" x14ac:dyDescent="0.35">
      <c r="A8" s="137" t="s">
        <v>55</v>
      </c>
      <c r="B8" s="74" t="s">
        <v>51</v>
      </c>
      <c r="C8" s="74" t="s">
        <v>69</v>
      </c>
      <c r="D8" s="74" t="s">
        <v>70</v>
      </c>
      <c r="E8" s="74" t="s">
        <v>71</v>
      </c>
      <c r="F8" s="74" t="s">
        <v>72</v>
      </c>
      <c r="G8" s="74" t="s">
        <v>52</v>
      </c>
    </row>
    <row r="9" spans="1:7" s="8" customFormat="1" ht="15" customHeight="1" x14ac:dyDescent="0.3">
      <c r="A9" s="138">
        <f ca="1">IF(ISBLANK(Assumptions!$B$5)=TRUE,DATE(YEAR(TODAY()),MONTH(TODAY()),0),DATE(YEAR(Assumptions!$B$5),MONTH(Assumptions!$B$5),0))</f>
        <v>42429</v>
      </c>
      <c r="B9" s="89">
        <v>0</v>
      </c>
      <c r="C9" s="89">
        <f>-Assumptions!$B$23</f>
        <v>1100000</v>
      </c>
      <c r="D9" s="89">
        <v>0</v>
      </c>
      <c r="E9" s="89">
        <v>0</v>
      </c>
      <c r="F9" s="89">
        <f>IF($B$6="Yes",0,D9-E9)</f>
        <v>0</v>
      </c>
      <c r="G9" s="139">
        <f>IF(ROUND(SUM(B9:C9,-F9),0)=0,0,IF($B$6="Yes",SUM($C$9:C9),SUM(B9:C9,-F9)))</f>
        <v>1100000</v>
      </c>
    </row>
    <row r="10" spans="1:7" s="8" customFormat="1" ht="15" customHeight="1" x14ac:dyDescent="0.3">
      <c r="A10" s="138">
        <f ca="1">DATE(YEAR(A9),MONTH(A9)+2,0)</f>
        <v>42460</v>
      </c>
      <c r="B10" s="89">
        <f>G9</f>
        <v>1100000</v>
      </c>
      <c r="C10" s="89">
        <f ca="1">IF(ISNA(MATCH($A10,LoanMonths,0))=TRUE,0,OFFSET(Forecast!$B$73,0,MATCH($A10,LoanMonths,0),1,1))</f>
        <v>0</v>
      </c>
      <c r="D10" s="140">
        <f ca="1">IF($B$6="Yes",0,IF(ROW(C10)-ROW($C$9)&gt;$B$5*12,-PMT($B$4/12,$B$5*12,SUM(OFFSET(C10,0,0,-$B$5*12,1)),0,0),-PMT($B$4/12,$B$5*12,SUM(OFFSET(C10,0,0,ROW($C$8)-ROW(C10),1)),0,0)))</f>
        <v>23643.290415929208</v>
      </c>
      <c r="E10" s="140">
        <f ca="1">(G9+C10)*$B$4/12</f>
        <v>9625</v>
      </c>
      <c r="F10" s="89">
        <f t="shared" ref="F10:F73" ca="1" si="0">IF($B$6="Yes",0,D10-E10)</f>
        <v>14018.290415929208</v>
      </c>
      <c r="G10" s="139">
        <f ca="1">IF(ROUND(SUM(B10:C10,-F10),0)=0,0,IF($B$6="Yes",SUM($C$9:C10),SUM(B10:C10,-F10)))</f>
        <v>1085981.7095840708</v>
      </c>
    </row>
    <row r="11" spans="1:7" s="8" customFormat="1" ht="15" customHeight="1" x14ac:dyDescent="0.3">
      <c r="A11" s="138">
        <f t="shared" ref="A11:A74" ca="1" si="1">DATE(YEAR(A10),MONTH(A10)+2,0)</f>
        <v>42490</v>
      </c>
      <c r="B11" s="89">
        <f t="shared" ref="B11:B74" ca="1" si="2">G10</f>
        <v>1085981.7095840708</v>
      </c>
      <c r="C11" s="89">
        <f ca="1">IF(ISNA(MATCH($A11,LoanMonths,0))=TRUE,0,OFFSET(Forecast!$B$73,0,MATCH($A11,LoanMonths,0),1,1))</f>
        <v>0</v>
      </c>
      <c r="D11" s="140">
        <f t="shared" ref="D11:D74" ca="1" si="3">IF($B$6="Yes",0,IF(ROW(C11)-ROW($C$9)&gt;$B$5*12,-PMT($B$4/12,$B$5*12,SUM(OFFSET(C11,0,0,-$B$5*12,1)),0,0),-PMT($B$4/12,$B$5*12,SUM(OFFSET(C11,0,0,ROW($C$8)-ROW(C11),1)),0,0)))</f>
        <v>23643.290415929208</v>
      </c>
      <c r="E11" s="140">
        <f t="shared" ref="E11:E74" ca="1" si="4">(G10+C11)*$B$4/12</f>
        <v>9502.3399588606189</v>
      </c>
      <c r="F11" s="89">
        <f t="shared" ca="1" si="0"/>
        <v>14140.950457068589</v>
      </c>
      <c r="G11" s="139">
        <f ca="1">IF(ROUND(SUM(B11:C11,-F11),0)=0,0,IF($B$6="Yes",SUM($C$9:C11),SUM(B11:C11,-F11)))</f>
        <v>1071840.7591270022</v>
      </c>
    </row>
    <row r="12" spans="1:7" s="8" customFormat="1" ht="15" customHeight="1" x14ac:dyDescent="0.3">
      <c r="A12" s="138">
        <f t="shared" ca="1" si="1"/>
        <v>42521</v>
      </c>
      <c r="B12" s="89">
        <f t="shared" ca="1" si="2"/>
        <v>1071840.7591270022</v>
      </c>
      <c r="C12" s="89">
        <f ca="1">IF(ISNA(MATCH($A12,LoanMonths,0))=TRUE,0,OFFSET(Forecast!$B$73,0,MATCH($A12,LoanMonths,0),1,1))</f>
        <v>0</v>
      </c>
      <c r="D12" s="140">
        <f t="shared" ca="1" si="3"/>
        <v>23643.290415929208</v>
      </c>
      <c r="E12" s="140">
        <f t="shared" ca="1" si="4"/>
        <v>9378.6066423612701</v>
      </c>
      <c r="F12" s="89">
        <f t="shared" ca="1" si="0"/>
        <v>14264.683773567938</v>
      </c>
      <c r="G12" s="139">
        <f ca="1">IF(ROUND(SUM(B12:C12,-F12),0)=0,0,IF($B$6="Yes",SUM($C$9:C12),SUM(B12:C12,-F12)))</f>
        <v>1057576.0753534343</v>
      </c>
    </row>
    <row r="13" spans="1:7" s="8" customFormat="1" ht="15" customHeight="1" x14ac:dyDescent="0.3">
      <c r="A13" s="138">
        <f t="shared" ca="1" si="1"/>
        <v>42551</v>
      </c>
      <c r="B13" s="89">
        <f t="shared" ca="1" si="2"/>
        <v>1057576.0753534343</v>
      </c>
      <c r="C13" s="89">
        <f ca="1">IF(ISNA(MATCH($A13,LoanMonths,0))=TRUE,0,OFFSET(Forecast!$B$73,0,MATCH($A13,LoanMonths,0),1,1))</f>
        <v>0</v>
      </c>
      <c r="D13" s="140">
        <f t="shared" ca="1" si="3"/>
        <v>23643.290415929208</v>
      </c>
      <c r="E13" s="140">
        <f t="shared" ca="1" si="4"/>
        <v>9253.7906593425487</v>
      </c>
      <c r="F13" s="89">
        <f t="shared" ca="1" si="0"/>
        <v>14389.49975658666</v>
      </c>
      <c r="G13" s="139">
        <f ca="1">IF(ROUND(SUM(B13:C13,-F13),0)=0,0,IF($B$6="Yes",SUM($C$9:C13),SUM(B13:C13,-F13)))</f>
        <v>1043186.5755968477</v>
      </c>
    </row>
    <row r="14" spans="1:7" s="8" customFormat="1" ht="15" customHeight="1" x14ac:dyDescent="0.3">
      <c r="A14" s="138">
        <f t="shared" ca="1" si="1"/>
        <v>42582</v>
      </c>
      <c r="B14" s="89">
        <f t="shared" ca="1" si="2"/>
        <v>1043186.5755968477</v>
      </c>
      <c r="C14" s="89">
        <f ca="1">IF(ISNA(MATCH($A14,LoanMonths,0))=TRUE,0,OFFSET(Forecast!$B$73,0,MATCH($A14,LoanMonths,0),1,1))</f>
        <v>100000</v>
      </c>
      <c r="D14" s="140">
        <f t="shared" ca="1" si="3"/>
        <v>25792.680453740952</v>
      </c>
      <c r="E14" s="140">
        <f t="shared" ca="1" si="4"/>
        <v>10002.882536472416</v>
      </c>
      <c r="F14" s="89">
        <f t="shared" ca="1" si="0"/>
        <v>15789.797917268535</v>
      </c>
      <c r="G14" s="139">
        <f ca="1">IF(ROUND(SUM(B14:C14,-F14),0)=0,0,IF($B$6="Yes",SUM($C$9:C14),SUM(B14:C14,-F14)))</f>
        <v>1127396.7776795791</v>
      </c>
    </row>
    <row r="15" spans="1:7" s="8" customFormat="1" ht="15" customHeight="1" x14ac:dyDescent="0.3">
      <c r="A15" s="138">
        <f t="shared" ca="1" si="1"/>
        <v>42613</v>
      </c>
      <c r="B15" s="89">
        <f t="shared" ca="1" si="2"/>
        <v>1127396.7776795791</v>
      </c>
      <c r="C15" s="89">
        <f ca="1">IF(ISNA(MATCH($A15,LoanMonths,0))=TRUE,0,OFFSET(Forecast!$B$73,0,MATCH($A15,LoanMonths,0),1,1))</f>
        <v>0</v>
      </c>
      <c r="D15" s="140">
        <f t="shared" ca="1" si="3"/>
        <v>25792.680453740952</v>
      </c>
      <c r="E15" s="140">
        <f t="shared" ca="1" si="4"/>
        <v>9864.7218046963171</v>
      </c>
      <c r="F15" s="89">
        <f t="shared" ca="1" si="0"/>
        <v>15927.958649044635</v>
      </c>
      <c r="G15" s="139">
        <f ca="1">IF(ROUND(SUM(B15:C15,-F15),0)=0,0,IF($B$6="Yes",SUM($C$9:C15),SUM(B15:C15,-F15)))</f>
        <v>1111468.8190305345</v>
      </c>
    </row>
    <row r="16" spans="1:7" s="8" customFormat="1" ht="15" customHeight="1" x14ac:dyDescent="0.3">
      <c r="A16" s="138">
        <f t="shared" ca="1" si="1"/>
        <v>42643</v>
      </c>
      <c r="B16" s="89">
        <f t="shared" ca="1" si="2"/>
        <v>1111468.8190305345</v>
      </c>
      <c r="C16" s="89">
        <f ca="1">IF(ISNA(MATCH($A16,LoanMonths,0))=TRUE,0,OFFSET(Forecast!$B$73,0,MATCH($A16,LoanMonths,0),1,1))</f>
        <v>0</v>
      </c>
      <c r="D16" s="140">
        <f t="shared" ca="1" si="3"/>
        <v>25792.680453740952</v>
      </c>
      <c r="E16" s="140">
        <f t="shared" ca="1" si="4"/>
        <v>9725.3521665171775</v>
      </c>
      <c r="F16" s="89">
        <f t="shared" ca="1" si="0"/>
        <v>16067.328287223774</v>
      </c>
      <c r="G16" s="139">
        <f ca="1">IF(ROUND(SUM(B16:C16,-F16),0)=0,0,IF($B$6="Yes",SUM($C$9:C16),SUM(B16:C16,-F16)))</f>
        <v>1095401.4907433107</v>
      </c>
    </row>
    <row r="17" spans="1:7" s="8" customFormat="1" ht="15" customHeight="1" x14ac:dyDescent="0.3">
      <c r="A17" s="138">
        <f t="shared" ca="1" si="1"/>
        <v>42674</v>
      </c>
      <c r="B17" s="89">
        <f t="shared" ca="1" si="2"/>
        <v>1095401.4907433107</v>
      </c>
      <c r="C17" s="89">
        <f ca="1">IF(ISNA(MATCH($A17,LoanMonths,0))=TRUE,0,OFFSET(Forecast!$B$73,0,MATCH($A17,LoanMonths,0),1,1))</f>
        <v>0</v>
      </c>
      <c r="D17" s="140">
        <f t="shared" ca="1" si="3"/>
        <v>25792.680453740952</v>
      </c>
      <c r="E17" s="140">
        <f t="shared" ca="1" si="4"/>
        <v>9584.7630440039684</v>
      </c>
      <c r="F17" s="89">
        <f t="shared" ca="1" si="0"/>
        <v>16207.917409736983</v>
      </c>
      <c r="G17" s="139">
        <f ca="1">IF(ROUND(SUM(B17:C17,-F17),0)=0,0,IF($B$6="Yes",SUM($C$9:C17),SUM(B17:C17,-F17)))</f>
        <v>1079193.5733335738</v>
      </c>
    </row>
    <row r="18" spans="1:7" s="8" customFormat="1" ht="15" customHeight="1" x14ac:dyDescent="0.3">
      <c r="A18" s="138">
        <f t="shared" ca="1" si="1"/>
        <v>42704</v>
      </c>
      <c r="B18" s="89">
        <f t="shared" ca="1" si="2"/>
        <v>1079193.5733335738</v>
      </c>
      <c r="C18" s="89">
        <f ca="1">IF(ISNA(MATCH($A18,LoanMonths,0))=TRUE,0,OFFSET(Forecast!$B$73,0,MATCH($A18,LoanMonths,0),1,1))</f>
        <v>0</v>
      </c>
      <c r="D18" s="140">
        <f t="shared" ca="1" si="3"/>
        <v>25792.680453740952</v>
      </c>
      <c r="E18" s="140">
        <f t="shared" ca="1" si="4"/>
        <v>9442.94376666877</v>
      </c>
      <c r="F18" s="89">
        <f t="shared" ca="1" si="0"/>
        <v>16349.736687072182</v>
      </c>
      <c r="G18" s="139">
        <f ca="1">IF(ROUND(SUM(B18:C18,-F18),0)=0,0,IF($B$6="Yes",SUM($C$9:C18),SUM(B18:C18,-F18)))</f>
        <v>1062843.8366465017</v>
      </c>
    </row>
    <row r="19" spans="1:7" s="8" customFormat="1" ht="15" customHeight="1" x14ac:dyDescent="0.3">
      <c r="A19" s="138">
        <f t="shared" ca="1" si="1"/>
        <v>42735</v>
      </c>
      <c r="B19" s="89">
        <f t="shared" ca="1" si="2"/>
        <v>1062843.8366465017</v>
      </c>
      <c r="C19" s="89">
        <f ca="1">IF(ISNA(MATCH($A19,LoanMonths,0))=TRUE,0,OFFSET(Forecast!$B$73,0,MATCH($A19,LoanMonths,0),1,1))</f>
        <v>0</v>
      </c>
      <c r="D19" s="140">
        <f t="shared" ca="1" si="3"/>
        <v>25792.680453740952</v>
      </c>
      <c r="E19" s="140">
        <f t="shared" ca="1" si="4"/>
        <v>9299.8835706568898</v>
      </c>
      <c r="F19" s="89">
        <f t="shared" ca="1" si="0"/>
        <v>16492.796883084062</v>
      </c>
      <c r="G19" s="139">
        <f ca="1">IF(ROUND(SUM(B19:C19,-F19),0)=0,0,IF($B$6="Yes",SUM($C$9:C19),SUM(B19:C19,-F19)))</f>
        <v>1046351.0397634176</v>
      </c>
    </row>
    <row r="20" spans="1:7" ht="15" customHeight="1" x14ac:dyDescent="0.3">
      <c r="A20" s="138">
        <f t="shared" ca="1" si="1"/>
        <v>42766</v>
      </c>
      <c r="B20" s="89">
        <f t="shared" ca="1" si="2"/>
        <v>1046351.0397634176</v>
      </c>
      <c r="C20" s="89">
        <f ca="1">IF(ISNA(MATCH($A20,LoanMonths,0))=TRUE,0,OFFSET(Forecast!$B$73,0,MATCH($A20,LoanMonths,0),1,1))</f>
        <v>0</v>
      </c>
      <c r="D20" s="140">
        <f t="shared" ca="1" si="3"/>
        <v>25792.680453740952</v>
      </c>
      <c r="E20" s="140">
        <f t="shared" ca="1" si="4"/>
        <v>9155.5715979299039</v>
      </c>
      <c r="F20" s="89">
        <f t="shared" ca="1" si="0"/>
        <v>16637.10885581105</v>
      </c>
      <c r="G20" s="139">
        <f ca="1">IF(ROUND(SUM(B20:C20,-F20),0)=0,0,IF($B$6="Yes",SUM($C$9:C20),SUM(B20:C20,-F20)))</f>
        <v>1029713.9309076065</v>
      </c>
    </row>
    <row r="21" spans="1:7" ht="15" customHeight="1" x14ac:dyDescent="0.3">
      <c r="A21" s="138">
        <f t="shared" ca="1" si="1"/>
        <v>42794</v>
      </c>
      <c r="B21" s="89">
        <f t="shared" ca="1" si="2"/>
        <v>1029713.9309076065</v>
      </c>
      <c r="C21" s="89">
        <f ca="1">IF(ISNA(MATCH($A21,LoanMonths,0))=TRUE,0,OFFSET(Forecast!$B$73,0,MATCH($A21,LoanMonths,0),1,1))</f>
        <v>0</v>
      </c>
      <c r="D21" s="140">
        <f t="shared" ca="1" si="3"/>
        <v>25792.680453740952</v>
      </c>
      <c r="E21" s="140">
        <f t="shared" ca="1" si="4"/>
        <v>9009.9968954415563</v>
      </c>
      <c r="F21" s="89">
        <f t="shared" ca="1" si="0"/>
        <v>16782.683558299395</v>
      </c>
      <c r="G21" s="139">
        <f ca="1">IF(ROUND(SUM(B21:C21,-F21),0)=0,0,IF($B$6="Yes",SUM($C$9:C21),SUM(B21:C21,-F21)))</f>
        <v>1012931.2473493071</v>
      </c>
    </row>
    <row r="22" spans="1:7" ht="15" customHeight="1" x14ac:dyDescent="0.3">
      <c r="A22" s="138">
        <f t="shared" ca="1" si="1"/>
        <v>42825</v>
      </c>
      <c r="B22" s="89">
        <f t="shared" ca="1" si="2"/>
        <v>1012931.2473493071</v>
      </c>
      <c r="C22" s="89">
        <f ca="1">IF(ISNA(MATCH($A22,LoanMonths,0))=TRUE,0,OFFSET(Forecast!$B$73,0,MATCH($A22,LoanMonths,0),1,1))</f>
        <v>0</v>
      </c>
      <c r="D22" s="140">
        <f t="shared" ca="1" si="3"/>
        <v>25792.680453740952</v>
      </c>
      <c r="E22" s="140">
        <f t="shared" ca="1" si="4"/>
        <v>8863.1484143064354</v>
      </c>
      <c r="F22" s="89">
        <f t="shared" ca="1" si="0"/>
        <v>16929.532039434518</v>
      </c>
      <c r="G22" s="139">
        <f ca="1">IF(ROUND(SUM(B22:C22,-F22),0)=0,0,IF($B$6="Yes",SUM($C$9:C22),SUM(B22:C22,-F22)))</f>
        <v>996001.71530987252</v>
      </c>
    </row>
    <row r="23" spans="1:7" s="15" customFormat="1" ht="15" customHeight="1" x14ac:dyDescent="0.3">
      <c r="A23" s="138">
        <f t="shared" ca="1" si="1"/>
        <v>42855</v>
      </c>
      <c r="B23" s="89">
        <f t="shared" ca="1" si="2"/>
        <v>996001.71530987252</v>
      </c>
      <c r="C23" s="89">
        <f ca="1">IF(ISNA(MATCH($A23,LoanMonths,0))=TRUE,0,OFFSET(Forecast!$B$73,0,MATCH($A23,LoanMonths,0),1,1))</f>
        <v>0</v>
      </c>
      <c r="D23" s="140">
        <f t="shared" ca="1" si="3"/>
        <v>25792.680453740952</v>
      </c>
      <c r="E23" s="140">
        <f t="shared" ca="1" si="4"/>
        <v>8715.0150089613835</v>
      </c>
      <c r="F23" s="89">
        <f t="shared" ca="1" si="0"/>
        <v>17077.665444779566</v>
      </c>
      <c r="G23" s="139">
        <f ca="1">IF(ROUND(SUM(B23:C23,-F23),0)=0,0,IF($B$6="Yes",SUM($C$9:C23),SUM(B23:C23,-F23)))</f>
        <v>978924.04986509297</v>
      </c>
    </row>
    <row r="24" spans="1:7" ht="15" customHeight="1" x14ac:dyDescent="0.3">
      <c r="A24" s="138">
        <f t="shared" ca="1" si="1"/>
        <v>42886</v>
      </c>
      <c r="B24" s="89">
        <f t="shared" ca="1" si="2"/>
        <v>978924.04986509297</v>
      </c>
      <c r="C24" s="89">
        <f ca="1">IF(ISNA(MATCH($A24,LoanMonths,0))=TRUE,0,OFFSET(Forecast!$B$73,0,MATCH($A24,LoanMonths,0),1,1))</f>
        <v>0</v>
      </c>
      <c r="D24" s="140">
        <f t="shared" ca="1" si="3"/>
        <v>25792.680453740952</v>
      </c>
      <c r="E24" s="140">
        <f t="shared" ca="1" si="4"/>
        <v>8565.5854363195631</v>
      </c>
      <c r="F24" s="89">
        <f t="shared" ca="1" si="0"/>
        <v>17227.095017421387</v>
      </c>
      <c r="G24" s="139">
        <f ca="1">IF(ROUND(SUM(B24:C24,-F24),0)=0,0,IF($B$6="Yes",SUM($C$9:C24),SUM(B24:C24,-F24)))</f>
        <v>961696.95484767156</v>
      </c>
    </row>
    <row r="25" spans="1:7" ht="15" customHeight="1" x14ac:dyDescent="0.3">
      <c r="A25" s="138">
        <f t="shared" ca="1" si="1"/>
        <v>42916</v>
      </c>
      <c r="B25" s="89">
        <f t="shared" ca="1" si="2"/>
        <v>961696.95484767156</v>
      </c>
      <c r="C25" s="89">
        <f ca="1">IF(ISNA(MATCH($A25,LoanMonths,0))=TRUE,0,OFFSET(Forecast!$B$73,0,MATCH($A25,LoanMonths,0),1,1))</f>
        <v>80000</v>
      </c>
      <c r="D25" s="140">
        <f t="shared" ca="1" si="3"/>
        <v>27512.192483990348</v>
      </c>
      <c r="E25" s="140">
        <f t="shared" ca="1" si="4"/>
        <v>9114.8483549171269</v>
      </c>
      <c r="F25" s="89">
        <f t="shared" ca="1" si="0"/>
        <v>18397.344129073223</v>
      </c>
      <c r="G25" s="139">
        <f ca="1">IF(ROUND(SUM(B25:C25,-F25),0)=0,0,IF($B$6="Yes",SUM($C$9:C25),SUM(B25:C25,-F25)))</f>
        <v>1023299.6107185984</v>
      </c>
    </row>
    <row r="26" spans="1:7" ht="15" customHeight="1" x14ac:dyDescent="0.3">
      <c r="A26" s="138">
        <f t="shared" ca="1" si="1"/>
        <v>42947</v>
      </c>
      <c r="B26" s="89">
        <f t="shared" ca="1" si="2"/>
        <v>1023299.6107185984</v>
      </c>
      <c r="C26" s="89">
        <f ca="1">IF(ISNA(MATCH($A26,LoanMonths,0))=TRUE,0,OFFSET(Forecast!$B$73,0,MATCH($A26,LoanMonths,0),1,1))</f>
        <v>0</v>
      </c>
      <c r="D26" s="140">
        <f t="shared" ca="1" si="3"/>
        <v>27512.192483990348</v>
      </c>
      <c r="E26" s="140">
        <f t="shared" ca="1" si="4"/>
        <v>8953.871593787735</v>
      </c>
      <c r="F26" s="89">
        <f t="shared" ca="1" si="0"/>
        <v>18558.320890202613</v>
      </c>
      <c r="G26" s="139">
        <f ca="1">IF(ROUND(SUM(B26:C26,-F26),0)=0,0,IF($B$6="Yes",SUM($C$9:C26),SUM(B26:C26,-F26)))</f>
        <v>1004741.2898283957</v>
      </c>
    </row>
    <row r="27" spans="1:7" ht="15" customHeight="1" x14ac:dyDescent="0.3">
      <c r="A27" s="138">
        <f t="shared" ca="1" si="1"/>
        <v>42978</v>
      </c>
      <c r="B27" s="89">
        <f t="shared" ca="1" si="2"/>
        <v>1004741.2898283957</v>
      </c>
      <c r="C27" s="89">
        <f ca="1">IF(ISNA(MATCH($A27,LoanMonths,0))=TRUE,0,OFFSET(Forecast!$B$73,0,MATCH($A27,LoanMonths,0),1,1))</f>
        <v>0</v>
      </c>
      <c r="D27" s="140">
        <f t="shared" ca="1" si="3"/>
        <v>27512.192483990348</v>
      </c>
      <c r="E27" s="140">
        <f t="shared" ca="1" si="4"/>
        <v>8791.4862859984623</v>
      </c>
      <c r="F27" s="89">
        <f t="shared" ca="1" si="0"/>
        <v>18720.706197991887</v>
      </c>
      <c r="G27" s="139">
        <f ca="1">IF(ROUND(SUM(B27:C27,-F27),0)=0,0,IF($B$6="Yes",SUM($C$9:C27),SUM(B27:C27,-F27)))</f>
        <v>986020.58363040385</v>
      </c>
    </row>
    <row r="28" spans="1:7" ht="15" customHeight="1" x14ac:dyDescent="0.3">
      <c r="A28" s="138">
        <f t="shared" ca="1" si="1"/>
        <v>43008</v>
      </c>
      <c r="B28" s="89">
        <f t="shared" ca="1" si="2"/>
        <v>986020.58363040385</v>
      </c>
      <c r="C28" s="89">
        <f ca="1">IF(ISNA(MATCH($A28,LoanMonths,0))=TRUE,0,OFFSET(Forecast!$B$73,0,MATCH($A28,LoanMonths,0),1,1))</f>
        <v>0</v>
      </c>
      <c r="D28" s="140">
        <f t="shared" ca="1" si="3"/>
        <v>27512.192483990348</v>
      </c>
      <c r="E28" s="140">
        <f t="shared" ca="1" si="4"/>
        <v>8627.6801067660326</v>
      </c>
      <c r="F28" s="89">
        <f t="shared" ca="1" si="0"/>
        <v>18884.512377224317</v>
      </c>
      <c r="G28" s="139">
        <f ca="1">IF(ROUND(SUM(B28:C28,-F28),0)=0,0,IF($B$6="Yes",SUM($C$9:C28),SUM(B28:C28,-F28)))</f>
        <v>967136.07125317957</v>
      </c>
    </row>
    <row r="29" spans="1:7" ht="15" customHeight="1" x14ac:dyDescent="0.3">
      <c r="A29" s="138">
        <f t="shared" ca="1" si="1"/>
        <v>43039</v>
      </c>
      <c r="B29" s="89">
        <f t="shared" ca="1" si="2"/>
        <v>967136.07125317957</v>
      </c>
      <c r="C29" s="89">
        <f ca="1">IF(ISNA(MATCH($A29,LoanMonths,0))=TRUE,0,OFFSET(Forecast!$B$73,0,MATCH($A29,LoanMonths,0),1,1))</f>
        <v>0</v>
      </c>
      <c r="D29" s="140">
        <f t="shared" ca="1" si="3"/>
        <v>27512.192483990348</v>
      </c>
      <c r="E29" s="140">
        <f t="shared" ca="1" si="4"/>
        <v>8462.4406234653216</v>
      </c>
      <c r="F29" s="89">
        <f t="shared" ca="1" si="0"/>
        <v>19049.751860525026</v>
      </c>
      <c r="G29" s="139">
        <f ca="1">IF(ROUND(SUM(B29:C29,-F29),0)=0,0,IF($B$6="Yes",SUM($C$9:C29),SUM(B29:C29,-F29)))</f>
        <v>948086.31939265458</v>
      </c>
    </row>
    <row r="30" spans="1:7" ht="15" customHeight="1" x14ac:dyDescent="0.3">
      <c r="A30" s="138">
        <f t="shared" ca="1" si="1"/>
        <v>43069</v>
      </c>
      <c r="B30" s="89">
        <f t="shared" ca="1" si="2"/>
        <v>948086.31939265458</v>
      </c>
      <c r="C30" s="89">
        <f ca="1">IF(ISNA(MATCH($A30,LoanMonths,0))=TRUE,0,OFFSET(Forecast!$B$73,0,MATCH($A30,LoanMonths,0),1,1))</f>
        <v>0</v>
      </c>
      <c r="D30" s="140">
        <f t="shared" ca="1" si="3"/>
        <v>27512.192483990348</v>
      </c>
      <c r="E30" s="140">
        <f t="shared" ca="1" si="4"/>
        <v>8295.7552946857268</v>
      </c>
      <c r="F30" s="89">
        <f t="shared" ca="1" si="0"/>
        <v>19216.437189304619</v>
      </c>
      <c r="G30" s="139">
        <f ca="1">IF(ROUND(SUM(B30:C30,-F30),0)=0,0,IF($B$6="Yes",SUM($C$9:C30),SUM(B30:C30,-F30)))</f>
        <v>928869.88220334996</v>
      </c>
    </row>
    <row r="31" spans="1:7" ht="15" customHeight="1" x14ac:dyDescent="0.3">
      <c r="A31" s="138">
        <f t="shared" ca="1" si="1"/>
        <v>43100</v>
      </c>
      <c r="B31" s="89">
        <f t="shared" ca="1" si="2"/>
        <v>928869.88220334996</v>
      </c>
      <c r="C31" s="89">
        <f ca="1">IF(ISNA(MATCH($A31,LoanMonths,0))=TRUE,0,OFFSET(Forecast!$B$73,0,MATCH($A31,LoanMonths,0),1,1))</f>
        <v>0</v>
      </c>
      <c r="D31" s="140">
        <f t="shared" ca="1" si="3"/>
        <v>27512.192483990348</v>
      </c>
      <c r="E31" s="140">
        <f t="shared" ca="1" si="4"/>
        <v>8127.6114692793117</v>
      </c>
      <c r="F31" s="89">
        <f t="shared" ca="1" si="0"/>
        <v>19384.581014711035</v>
      </c>
      <c r="G31" s="139">
        <f ca="1">IF(ROUND(SUM(B31:C31,-F31),0)=0,0,IF($B$6="Yes",SUM($C$9:C31),SUM(B31:C31,-F31)))</f>
        <v>909485.3011886389</v>
      </c>
    </row>
    <row r="32" spans="1:7" ht="15" customHeight="1" x14ac:dyDescent="0.3">
      <c r="A32" s="138">
        <f t="shared" ca="1" si="1"/>
        <v>43131</v>
      </c>
      <c r="B32" s="89">
        <f t="shared" ca="1" si="2"/>
        <v>909485.3011886389</v>
      </c>
      <c r="C32" s="89">
        <f ca="1">IF(ISNA(MATCH($A32,LoanMonths,0))=TRUE,0,OFFSET(Forecast!$B$73,0,MATCH($A32,LoanMonths,0),1,1))</f>
        <v>0</v>
      </c>
      <c r="D32" s="140">
        <f t="shared" ca="1" si="3"/>
        <v>27512.192483990348</v>
      </c>
      <c r="E32" s="140">
        <f t="shared" ca="1" si="4"/>
        <v>7957.99638540059</v>
      </c>
      <c r="F32" s="89">
        <f t="shared" ca="1" si="0"/>
        <v>19554.196098589757</v>
      </c>
      <c r="G32" s="139">
        <f ca="1">IF(ROUND(SUM(B32:C32,-F32),0)=0,0,IF($B$6="Yes",SUM($C$9:C32),SUM(B32:C32,-F32)))</f>
        <v>889931.1050900491</v>
      </c>
    </row>
    <row r="33" spans="1:7" ht="15" customHeight="1" x14ac:dyDescent="0.3">
      <c r="A33" s="138">
        <f t="shared" ca="1" si="1"/>
        <v>43159</v>
      </c>
      <c r="B33" s="89">
        <f t="shared" ca="1" si="2"/>
        <v>889931.1050900491</v>
      </c>
      <c r="C33" s="89">
        <f ca="1">IF(ISNA(MATCH($A33,LoanMonths,0))=TRUE,0,OFFSET(Forecast!$B$73,0,MATCH($A33,LoanMonths,0),1,1))</f>
        <v>0</v>
      </c>
      <c r="D33" s="140">
        <f t="shared" ca="1" si="3"/>
        <v>27512.192483990348</v>
      </c>
      <c r="E33" s="140">
        <f t="shared" ca="1" si="4"/>
        <v>7786.8971695379296</v>
      </c>
      <c r="F33" s="89">
        <f t="shared" ca="1" si="0"/>
        <v>19725.295314452418</v>
      </c>
      <c r="G33" s="139">
        <f ca="1">IF(ROUND(SUM(B33:C33,-F33),0)=0,0,IF($B$6="Yes",SUM($C$9:C33),SUM(B33:C33,-F33)))</f>
        <v>870205.80977559672</v>
      </c>
    </row>
    <row r="34" spans="1:7" ht="15" customHeight="1" x14ac:dyDescent="0.3">
      <c r="A34" s="138">
        <f t="shared" ca="1" si="1"/>
        <v>43190</v>
      </c>
      <c r="B34" s="89">
        <f t="shared" ca="1" si="2"/>
        <v>870205.80977559672</v>
      </c>
      <c r="C34" s="89">
        <f ca="1">IF(ISNA(MATCH($A34,LoanMonths,0))=TRUE,0,OFFSET(Forecast!$B$73,0,MATCH($A34,LoanMonths,0),1,1))</f>
        <v>0</v>
      </c>
      <c r="D34" s="140">
        <f t="shared" ca="1" si="3"/>
        <v>27512.192483990348</v>
      </c>
      <c r="E34" s="140">
        <f t="shared" ca="1" si="4"/>
        <v>7614.3008355364718</v>
      </c>
      <c r="F34" s="89">
        <f t="shared" ca="1" si="0"/>
        <v>19897.891648453875</v>
      </c>
      <c r="G34" s="139">
        <f ca="1">IF(ROUND(SUM(B34:C34,-F34),0)=0,0,IF($B$6="Yes",SUM($C$9:C34),SUM(B34:C34,-F34)))</f>
        <v>850307.91812714282</v>
      </c>
    </row>
    <row r="35" spans="1:7" ht="15" customHeight="1" x14ac:dyDescent="0.3">
      <c r="A35" s="138">
        <f t="shared" ca="1" si="1"/>
        <v>43220</v>
      </c>
      <c r="B35" s="89">
        <f t="shared" ca="1" si="2"/>
        <v>850307.91812714282</v>
      </c>
      <c r="C35" s="89">
        <f ca="1">IF(ISNA(MATCH($A35,LoanMonths,0))=TRUE,0,OFFSET(Forecast!$B$73,0,MATCH($A35,LoanMonths,0),1,1))</f>
        <v>0</v>
      </c>
      <c r="D35" s="140">
        <f t="shared" ca="1" si="3"/>
        <v>27512.192483990348</v>
      </c>
      <c r="E35" s="140">
        <f t="shared" ca="1" si="4"/>
        <v>7440.194283612499</v>
      </c>
      <c r="F35" s="89">
        <f t="shared" ca="1" si="0"/>
        <v>20071.99820037785</v>
      </c>
      <c r="G35" s="139">
        <f ca="1">IF(ROUND(SUM(B35:C35,-F35),0)=0,0,IF($B$6="Yes",SUM($C$9:C35),SUM(B35:C35,-F35)))</f>
        <v>830235.91992676503</v>
      </c>
    </row>
    <row r="36" spans="1:7" ht="15" customHeight="1" x14ac:dyDescent="0.3">
      <c r="A36" s="138">
        <f t="shared" ca="1" si="1"/>
        <v>43251</v>
      </c>
      <c r="B36" s="89">
        <f t="shared" ca="1" si="2"/>
        <v>830235.91992676503</v>
      </c>
      <c r="C36" s="89">
        <f ca="1">IF(ISNA(MATCH($A36,LoanMonths,0))=TRUE,0,OFFSET(Forecast!$B$73,0,MATCH($A36,LoanMonths,0),1,1))</f>
        <v>0</v>
      </c>
      <c r="D36" s="140">
        <f t="shared" ca="1" si="3"/>
        <v>27512.192483990348</v>
      </c>
      <c r="E36" s="140">
        <f t="shared" ca="1" si="4"/>
        <v>7264.5642993591937</v>
      </c>
      <c r="F36" s="89">
        <f t="shared" ca="1" si="0"/>
        <v>20247.628184631154</v>
      </c>
      <c r="G36" s="139">
        <f ca="1">IF(ROUND(SUM(B36:C36,-F36),0)=0,0,IF($B$6="Yes",SUM($C$9:C36),SUM(B36:C36,-F36)))</f>
        <v>809988.29174213391</v>
      </c>
    </row>
    <row r="37" spans="1:7" ht="15" customHeight="1" x14ac:dyDescent="0.3">
      <c r="A37" s="138">
        <f t="shared" ca="1" si="1"/>
        <v>43281</v>
      </c>
      <c r="B37" s="89">
        <f t="shared" ca="1" si="2"/>
        <v>809988.29174213391</v>
      </c>
      <c r="C37" s="89">
        <f ca="1">IF(ISNA(MATCH($A37,LoanMonths,0))=TRUE,0,OFFSET(Forecast!$B$73,0,MATCH($A37,LoanMonths,0),1,1))</f>
        <v>0</v>
      </c>
      <c r="D37" s="140">
        <f t="shared" ca="1" si="3"/>
        <v>27512.192483990348</v>
      </c>
      <c r="E37" s="140">
        <f t="shared" ca="1" si="4"/>
        <v>7087.3975527436714</v>
      </c>
      <c r="F37" s="89">
        <f t="shared" ca="1" si="0"/>
        <v>20424.794931246677</v>
      </c>
      <c r="G37" s="139">
        <f ca="1">IF(ROUND(SUM(B37:C37,-F37),0)=0,0,IF($B$6="Yes",SUM($C$9:C37),SUM(B37:C37,-F37)))</f>
        <v>789563.49681088724</v>
      </c>
    </row>
    <row r="38" spans="1:7" ht="15" customHeight="1" x14ac:dyDescent="0.3">
      <c r="A38" s="138">
        <f t="shared" ca="1" si="1"/>
        <v>43312</v>
      </c>
      <c r="B38" s="89">
        <f t="shared" ca="1" si="2"/>
        <v>789563.49681088724</v>
      </c>
      <c r="C38" s="89">
        <f ca="1">IF(ISNA(MATCH($A38,LoanMonths,0))=TRUE,0,OFFSET(Forecast!$B$73,0,MATCH($A38,LoanMonths,0),1,1))</f>
        <v>75000</v>
      </c>
      <c r="D38" s="140">
        <f t="shared" ca="1" si="3"/>
        <v>29124.23501234916</v>
      </c>
      <c r="E38" s="140">
        <f t="shared" ca="1" si="4"/>
        <v>7564.9305970952628</v>
      </c>
      <c r="F38" s="89">
        <f t="shared" ca="1" si="0"/>
        <v>21559.304415253897</v>
      </c>
      <c r="G38" s="139">
        <f ca="1">IF(ROUND(SUM(B38:C38,-F38),0)=0,0,IF($B$6="Yes",SUM($C$9:C38),SUM(B38:C38,-F38)))</f>
        <v>843004.19239563332</v>
      </c>
    </row>
    <row r="39" spans="1:7" ht="15" customHeight="1" x14ac:dyDescent="0.3">
      <c r="A39" s="138">
        <f t="shared" ca="1" si="1"/>
        <v>43343</v>
      </c>
      <c r="B39" s="89">
        <f t="shared" ca="1" si="2"/>
        <v>843004.19239563332</v>
      </c>
      <c r="C39" s="89">
        <f ca="1">IF(ISNA(MATCH($A39,LoanMonths,0))=TRUE,0,OFFSET(Forecast!$B$73,0,MATCH($A39,LoanMonths,0),1,1))</f>
        <v>0</v>
      </c>
      <c r="D39" s="140">
        <f t="shared" ca="1" si="3"/>
        <v>29124.23501234916</v>
      </c>
      <c r="E39" s="140">
        <f t="shared" ca="1" si="4"/>
        <v>7376.2866834617917</v>
      </c>
      <c r="F39" s="89">
        <f t="shared" ca="1" si="0"/>
        <v>21747.948328887367</v>
      </c>
      <c r="G39" s="139">
        <f ca="1">IF(ROUND(SUM(B39:C39,-F39),0)=0,0,IF($B$6="Yes",SUM($C$9:C39),SUM(B39:C39,-F39)))</f>
        <v>821256.24406674597</v>
      </c>
    </row>
    <row r="40" spans="1:7" ht="15" customHeight="1" x14ac:dyDescent="0.3">
      <c r="A40" s="138">
        <f t="shared" ca="1" si="1"/>
        <v>43373</v>
      </c>
      <c r="B40" s="89">
        <f t="shared" ca="1" si="2"/>
        <v>821256.24406674597</v>
      </c>
      <c r="C40" s="89">
        <f ca="1">IF(ISNA(MATCH($A40,LoanMonths,0))=TRUE,0,OFFSET(Forecast!$B$73,0,MATCH($A40,LoanMonths,0),1,1))</f>
        <v>0</v>
      </c>
      <c r="D40" s="140">
        <f t="shared" ca="1" si="3"/>
        <v>29124.23501234916</v>
      </c>
      <c r="E40" s="140">
        <f t="shared" ca="1" si="4"/>
        <v>7185.992135584027</v>
      </c>
      <c r="F40" s="89">
        <f t="shared" ca="1" si="0"/>
        <v>21938.242876765133</v>
      </c>
      <c r="G40" s="139">
        <f ca="1">IF(ROUND(SUM(B40:C40,-F40),0)=0,0,IF($B$6="Yes",SUM($C$9:C40),SUM(B40:C40,-F40)))</f>
        <v>799318.00118998089</v>
      </c>
    </row>
    <row r="41" spans="1:7" ht="15" customHeight="1" x14ac:dyDescent="0.3">
      <c r="A41" s="138">
        <f t="shared" ca="1" si="1"/>
        <v>43404</v>
      </c>
      <c r="B41" s="89">
        <f t="shared" ca="1" si="2"/>
        <v>799318.00118998089</v>
      </c>
      <c r="C41" s="89">
        <f ca="1">IF(ISNA(MATCH($A41,LoanMonths,0))=TRUE,0,OFFSET(Forecast!$B$73,0,MATCH($A41,LoanMonths,0),1,1))</f>
        <v>0</v>
      </c>
      <c r="D41" s="140">
        <f t="shared" ca="1" si="3"/>
        <v>29124.23501234916</v>
      </c>
      <c r="E41" s="140">
        <f t="shared" ca="1" si="4"/>
        <v>6994.0325104123331</v>
      </c>
      <c r="F41" s="89">
        <f t="shared" ca="1" si="0"/>
        <v>22130.202501936827</v>
      </c>
      <c r="G41" s="139">
        <f ca="1">IF(ROUND(SUM(B41:C41,-F41),0)=0,0,IF($B$6="Yes",SUM($C$9:C41),SUM(B41:C41,-F41)))</f>
        <v>777187.79868804407</v>
      </c>
    </row>
    <row r="42" spans="1:7" ht="15" customHeight="1" x14ac:dyDescent="0.3">
      <c r="A42" s="138">
        <f t="shared" ca="1" si="1"/>
        <v>43434</v>
      </c>
      <c r="B42" s="89">
        <f t="shared" ca="1" si="2"/>
        <v>777187.79868804407</v>
      </c>
      <c r="C42" s="89">
        <f ca="1">IF(ISNA(MATCH($A42,LoanMonths,0))=TRUE,0,OFFSET(Forecast!$B$73,0,MATCH($A42,LoanMonths,0),1,1))</f>
        <v>0</v>
      </c>
      <c r="D42" s="140">
        <f t="shared" ca="1" si="3"/>
        <v>29124.23501234916</v>
      </c>
      <c r="E42" s="140">
        <f t="shared" ca="1" si="4"/>
        <v>6800.3932385203852</v>
      </c>
      <c r="F42" s="89">
        <f t="shared" ca="1" si="0"/>
        <v>22323.841773828775</v>
      </c>
      <c r="G42" s="139">
        <f ca="1">IF(ROUND(SUM(B42:C42,-F42),0)=0,0,IF($B$6="Yes",SUM($C$9:C42),SUM(B42:C42,-F42)))</f>
        <v>754863.95691421535</v>
      </c>
    </row>
    <row r="43" spans="1:7" ht="15" customHeight="1" x14ac:dyDescent="0.3">
      <c r="A43" s="138">
        <f t="shared" ca="1" si="1"/>
        <v>43465</v>
      </c>
      <c r="B43" s="89">
        <f t="shared" ca="1" si="2"/>
        <v>754863.95691421535</v>
      </c>
      <c r="C43" s="89">
        <f ca="1">IF(ISNA(MATCH($A43,LoanMonths,0))=TRUE,0,OFFSET(Forecast!$B$73,0,MATCH($A43,LoanMonths,0),1,1))</f>
        <v>0</v>
      </c>
      <c r="D43" s="140">
        <f t="shared" ca="1" si="3"/>
        <v>29124.23501234916</v>
      </c>
      <c r="E43" s="140">
        <f t="shared" ca="1" si="4"/>
        <v>6605.0596229993835</v>
      </c>
      <c r="F43" s="89">
        <f t="shared" ca="1" si="0"/>
        <v>22519.175389349777</v>
      </c>
      <c r="G43" s="139">
        <f ca="1">IF(ROUND(SUM(B43:C43,-F43),0)=0,0,IF($B$6="Yes",SUM($C$9:C43),SUM(B43:C43,-F43)))</f>
        <v>732344.78152486554</v>
      </c>
    </row>
    <row r="44" spans="1:7" ht="15" customHeight="1" x14ac:dyDescent="0.3">
      <c r="A44" s="138">
        <f t="shared" ca="1" si="1"/>
        <v>43496</v>
      </c>
      <c r="B44" s="89">
        <f t="shared" ca="1" si="2"/>
        <v>732344.78152486554</v>
      </c>
      <c r="C44" s="89">
        <f ca="1">IF(ISNA(MATCH($A44,LoanMonths,0))=TRUE,0,OFFSET(Forecast!$B$73,0,MATCH($A44,LoanMonths,0),1,1))</f>
        <v>30000</v>
      </c>
      <c r="D44" s="140">
        <f t="shared" ca="1" si="3"/>
        <v>29769.052023692682</v>
      </c>
      <c r="E44" s="140">
        <f t="shared" ca="1" si="4"/>
        <v>6670.5168383425735</v>
      </c>
      <c r="F44" s="89">
        <f t="shared" ca="1" si="0"/>
        <v>23098.535185350109</v>
      </c>
      <c r="G44" s="139">
        <f ca="1">IF(ROUND(SUM(B44:C44,-F44),0)=0,0,IF($B$6="Yes",SUM($C$9:C44),SUM(B44:C44,-F44)))</f>
        <v>739246.24633951543</v>
      </c>
    </row>
    <row r="45" spans="1:7" ht="15" customHeight="1" x14ac:dyDescent="0.3">
      <c r="A45" s="138">
        <f t="shared" ca="1" si="1"/>
        <v>43524</v>
      </c>
      <c r="B45" s="89">
        <f t="shared" ca="1" si="2"/>
        <v>739246.24633951543</v>
      </c>
      <c r="C45" s="89">
        <f ca="1">IF(ISNA(MATCH($A45,LoanMonths,0))=TRUE,0,OFFSET(Forecast!$B$73,0,MATCH($A45,LoanMonths,0),1,1))</f>
        <v>0</v>
      </c>
      <c r="D45" s="140">
        <f t="shared" ca="1" si="3"/>
        <v>29769.052023692682</v>
      </c>
      <c r="E45" s="140">
        <f t="shared" ca="1" si="4"/>
        <v>6468.4046554707602</v>
      </c>
      <c r="F45" s="89">
        <f t="shared" ca="1" si="0"/>
        <v>23300.647368221922</v>
      </c>
      <c r="G45" s="139">
        <f ca="1">IF(ROUND(SUM(B45:C45,-F45),0)=0,0,IF($B$6="Yes",SUM($C$9:C45),SUM(B45:C45,-F45)))</f>
        <v>715945.59897129354</v>
      </c>
    </row>
    <row r="46" spans="1:7" ht="15" customHeight="1" x14ac:dyDescent="0.3">
      <c r="A46" s="138">
        <f t="shared" ca="1" si="1"/>
        <v>43555</v>
      </c>
      <c r="B46" s="89">
        <f t="shared" ca="1" si="2"/>
        <v>715945.59897129354</v>
      </c>
      <c r="C46" s="89">
        <f ca="1">IF(ISNA(MATCH($A46,LoanMonths,0))=TRUE,0,OFFSET(Forecast!$B$73,0,MATCH($A46,LoanMonths,0),1,1))</f>
        <v>0</v>
      </c>
      <c r="D46" s="140">
        <f t="shared" ca="1" si="3"/>
        <v>29769.052023692682</v>
      </c>
      <c r="E46" s="140">
        <f t="shared" ca="1" si="4"/>
        <v>6264.5239909988186</v>
      </c>
      <c r="F46" s="89">
        <f t="shared" ca="1" si="0"/>
        <v>23504.528032693863</v>
      </c>
      <c r="G46" s="139">
        <f ca="1">IF(ROUND(SUM(B46:C46,-F46),0)=0,0,IF($B$6="Yes",SUM($C$9:C46),SUM(B46:C46,-F46)))</f>
        <v>692441.07093859965</v>
      </c>
    </row>
    <row r="47" spans="1:7" ht="15" customHeight="1" x14ac:dyDescent="0.3">
      <c r="A47" s="138">
        <f t="shared" ca="1" si="1"/>
        <v>43585</v>
      </c>
      <c r="B47" s="89">
        <f t="shared" ca="1" si="2"/>
        <v>692441.07093859965</v>
      </c>
      <c r="C47" s="89">
        <f ca="1">IF(ISNA(MATCH($A47,LoanMonths,0))=TRUE,0,OFFSET(Forecast!$B$73,0,MATCH($A47,LoanMonths,0),1,1))</f>
        <v>0</v>
      </c>
      <c r="D47" s="140">
        <f t="shared" ca="1" si="3"/>
        <v>29769.052023692682</v>
      </c>
      <c r="E47" s="140">
        <f t="shared" ca="1" si="4"/>
        <v>6058.8593707127466</v>
      </c>
      <c r="F47" s="89">
        <f t="shared" ca="1" si="0"/>
        <v>23710.192652979935</v>
      </c>
      <c r="G47" s="139">
        <f ca="1">IF(ROUND(SUM(B47:C47,-F47),0)=0,0,IF($B$6="Yes",SUM($C$9:C47),SUM(B47:C47,-F47)))</f>
        <v>668730.87828561966</v>
      </c>
    </row>
    <row r="48" spans="1:7" ht="15" customHeight="1" x14ac:dyDescent="0.3">
      <c r="A48" s="138">
        <f t="shared" ca="1" si="1"/>
        <v>43616</v>
      </c>
      <c r="B48" s="89">
        <f t="shared" ca="1" si="2"/>
        <v>668730.87828561966</v>
      </c>
      <c r="C48" s="89">
        <f ca="1">IF(ISNA(MATCH($A48,LoanMonths,0))=TRUE,0,OFFSET(Forecast!$B$73,0,MATCH($A48,LoanMonths,0),1,1))</f>
        <v>0</v>
      </c>
      <c r="D48" s="140">
        <f t="shared" ca="1" si="3"/>
        <v>29769.052023692682</v>
      </c>
      <c r="E48" s="140">
        <f t="shared" ca="1" si="4"/>
        <v>5851.3951849991718</v>
      </c>
      <c r="F48" s="89">
        <f t="shared" ca="1" si="0"/>
        <v>23917.656838693511</v>
      </c>
      <c r="G48" s="139">
        <f ca="1">IF(ROUND(SUM(B48:C48,-F48),0)=0,0,IF($B$6="Yes",SUM($C$9:C48),SUM(B48:C48,-F48)))</f>
        <v>644813.22144692612</v>
      </c>
    </row>
    <row r="49" spans="1:7" ht="15" customHeight="1" x14ac:dyDescent="0.3">
      <c r="A49" s="138">
        <f t="shared" ca="1" si="1"/>
        <v>43646</v>
      </c>
      <c r="B49" s="89">
        <f t="shared" ca="1" si="2"/>
        <v>644813.22144692612</v>
      </c>
      <c r="C49" s="89">
        <f ca="1">IF(ISNA(MATCH($A49,LoanMonths,0))=TRUE,0,OFFSET(Forecast!$B$73,0,MATCH($A49,LoanMonths,0),1,1))</f>
        <v>0</v>
      </c>
      <c r="D49" s="140">
        <f t="shared" ca="1" si="3"/>
        <v>29769.052023692682</v>
      </c>
      <c r="E49" s="140">
        <f t="shared" ca="1" si="4"/>
        <v>5642.1156876606037</v>
      </c>
      <c r="F49" s="89">
        <f t="shared" ca="1" si="0"/>
        <v>24126.936336032079</v>
      </c>
      <c r="G49" s="139">
        <f ca="1">IF(ROUND(SUM(B49:C49,-F49),0)=0,0,IF($B$6="Yes",SUM($C$9:C49),SUM(B49:C49,-F49)))</f>
        <v>620686.28511089401</v>
      </c>
    </row>
    <row r="50" spans="1:7" ht="15" customHeight="1" x14ac:dyDescent="0.3">
      <c r="A50" s="138">
        <f t="shared" ca="1" si="1"/>
        <v>43677</v>
      </c>
      <c r="B50" s="89">
        <f t="shared" ca="1" si="2"/>
        <v>620686.28511089401</v>
      </c>
      <c r="C50" s="89">
        <f ca="1">IF(ISNA(MATCH($A50,LoanMonths,0))=TRUE,0,OFFSET(Forecast!$B$73,0,MATCH($A50,LoanMonths,0),1,1))</f>
        <v>0</v>
      </c>
      <c r="D50" s="140">
        <f t="shared" ca="1" si="3"/>
        <v>29769.052023692682</v>
      </c>
      <c r="E50" s="140">
        <f t="shared" ca="1" si="4"/>
        <v>5431.0049947203224</v>
      </c>
      <c r="F50" s="89">
        <f t="shared" ca="1" si="0"/>
        <v>24338.04702897236</v>
      </c>
      <c r="G50" s="139">
        <f ca="1">IF(ROUND(SUM(B50:C50,-F50),0)=0,0,IF($B$6="Yes",SUM($C$9:C50),SUM(B50:C50,-F50)))</f>
        <v>596348.23808192159</v>
      </c>
    </row>
    <row r="51" spans="1:7" ht="15" customHeight="1" x14ac:dyDescent="0.3">
      <c r="A51" s="138">
        <f t="shared" ca="1" si="1"/>
        <v>43708</v>
      </c>
      <c r="B51" s="89">
        <f t="shared" ca="1" si="2"/>
        <v>596348.23808192159</v>
      </c>
      <c r="C51" s="89">
        <f ca="1">IF(ISNA(MATCH($A51,LoanMonths,0))=TRUE,0,OFFSET(Forecast!$B$73,0,MATCH($A51,LoanMonths,0),1,1))</f>
        <v>0</v>
      </c>
      <c r="D51" s="140">
        <f t="shared" ca="1" si="3"/>
        <v>29769.052023692682</v>
      </c>
      <c r="E51" s="140">
        <f t="shared" ca="1" si="4"/>
        <v>5218.0470832168139</v>
      </c>
      <c r="F51" s="89">
        <f t="shared" ca="1" si="0"/>
        <v>24551.004940475868</v>
      </c>
      <c r="G51" s="139">
        <f ca="1">IF(ROUND(SUM(B51:C51,-F51),0)=0,0,IF($B$6="Yes",SUM($C$9:C51),SUM(B51:C51,-F51)))</f>
        <v>571797.23314144567</v>
      </c>
    </row>
    <row r="52" spans="1:7" ht="15" customHeight="1" x14ac:dyDescent="0.3">
      <c r="A52" s="138">
        <f t="shared" ca="1" si="1"/>
        <v>43738</v>
      </c>
      <c r="B52" s="89">
        <f t="shared" ca="1" si="2"/>
        <v>571797.23314144567</v>
      </c>
      <c r="C52" s="89">
        <f ca="1">IF(ISNA(MATCH($A52,LoanMonths,0))=TRUE,0,OFFSET(Forecast!$B$73,0,MATCH($A52,LoanMonths,0),1,1))</f>
        <v>0</v>
      </c>
      <c r="D52" s="140">
        <f t="shared" ca="1" si="3"/>
        <v>29769.052023692682</v>
      </c>
      <c r="E52" s="140">
        <f t="shared" ca="1" si="4"/>
        <v>5003.2257899876495</v>
      </c>
      <c r="F52" s="89">
        <f t="shared" ca="1" si="0"/>
        <v>24765.826233705033</v>
      </c>
      <c r="G52" s="139">
        <f ca="1">IF(ROUND(SUM(B52:C52,-F52),0)=0,0,IF($B$6="Yes",SUM($C$9:C52),SUM(B52:C52,-F52)))</f>
        <v>547031.40690774063</v>
      </c>
    </row>
    <row r="53" spans="1:7" ht="15" customHeight="1" x14ac:dyDescent="0.3">
      <c r="A53" s="138">
        <f t="shared" ca="1" si="1"/>
        <v>43769</v>
      </c>
      <c r="B53" s="89">
        <f t="shared" ca="1" si="2"/>
        <v>547031.40690774063</v>
      </c>
      <c r="C53" s="89">
        <f ca="1">IF(ISNA(MATCH($A53,LoanMonths,0))=TRUE,0,OFFSET(Forecast!$B$73,0,MATCH($A53,LoanMonths,0),1,1))</f>
        <v>0</v>
      </c>
      <c r="D53" s="140">
        <f t="shared" ca="1" si="3"/>
        <v>29769.052023692682</v>
      </c>
      <c r="E53" s="140">
        <f t="shared" ca="1" si="4"/>
        <v>4786.5248104427301</v>
      </c>
      <c r="F53" s="89">
        <f t="shared" ca="1" si="0"/>
        <v>24982.527213249952</v>
      </c>
      <c r="G53" s="139">
        <f ca="1">IF(ROUND(SUM(B53:C53,-F53),0)=0,0,IF($B$6="Yes",SUM($C$9:C53),SUM(B53:C53,-F53)))</f>
        <v>522048.87969449069</v>
      </c>
    </row>
    <row r="54" spans="1:7" ht="15" customHeight="1" x14ac:dyDescent="0.3">
      <c r="A54" s="138">
        <f t="shared" ca="1" si="1"/>
        <v>43799</v>
      </c>
      <c r="B54" s="89">
        <f t="shared" ca="1" si="2"/>
        <v>522048.87969449069</v>
      </c>
      <c r="C54" s="89">
        <f ca="1">IF(ISNA(MATCH($A54,LoanMonths,0))=TRUE,0,OFFSET(Forecast!$B$73,0,MATCH($A54,LoanMonths,0),1,1))</f>
        <v>0</v>
      </c>
      <c r="D54" s="140">
        <f t="shared" ca="1" si="3"/>
        <v>29769.052023692682</v>
      </c>
      <c r="E54" s="140">
        <f t="shared" ca="1" si="4"/>
        <v>4567.9276973267933</v>
      </c>
      <c r="F54" s="89">
        <f t="shared" ca="1" si="0"/>
        <v>25201.124326365891</v>
      </c>
      <c r="G54" s="139">
        <f ca="1">IF(ROUND(SUM(B54:C54,-F54),0)=0,0,IF($B$6="Yes",SUM($C$9:C54),SUM(B54:C54,-F54)))</f>
        <v>496847.75536812481</v>
      </c>
    </row>
    <row r="55" spans="1:7" ht="15" customHeight="1" x14ac:dyDescent="0.3">
      <c r="A55" s="138">
        <f t="shared" ca="1" si="1"/>
        <v>43830</v>
      </c>
      <c r="B55" s="89">
        <f t="shared" ca="1" si="2"/>
        <v>496847.75536812481</v>
      </c>
      <c r="C55" s="89">
        <f ca="1">IF(ISNA(MATCH($A55,LoanMonths,0))=TRUE,0,OFFSET(Forecast!$B$73,0,MATCH($A55,LoanMonths,0),1,1))</f>
        <v>0</v>
      </c>
      <c r="D55" s="140">
        <f t="shared" ca="1" si="3"/>
        <v>29769.052023692682</v>
      </c>
      <c r="E55" s="140">
        <f t="shared" ca="1" si="4"/>
        <v>4347.417859471092</v>
      </c>
      <c r="F55" s="89">
        <f t="shared" ca="1" si="0"/>
        <v>25421.634164221592</v>
      </c>
      <c r="G55" s="139">
        <f ca="1">IF(ROUND(SUM(B55:C55,-F55),0)=0,0,IF($B$6="Yes",SUM($C$9:C55),SUM(B55:C55,-F55)))</f>
        <v>471426.12120390323</v>
      </c>
    </row>
    <row r="56" spans="1:7" ht="15" customHeight="1" x14ac:dyDescent="0.3">
      <c r="A56" s="138">
        <f t="shared" ca="1" si="1"/>
        <v>43861</v>
      </c>
      <c r="B56" s="89">
        <f t="shared" ca="1" si="2"/>
        <v>471426.12120390323</v>
      </c>
      <c r="C56" s="89">
        <f ca="1">IF(ISNA(MATCH($A56,LoanMonths,0))=TRUE,0,OFFSET(Forecast!$B$73,0,MATCH($A56,LoanMonths,0),1,1))</f>
        <v>0</v>
      </c>
      <c r="D56" s="140">
        <f t="shared" ca="1" si="3"/>
        <v>29769.052023692682</v>
      </c>
      <c r="E56" s="140">
        <f t="shared" ca="1" si="4"/>
        <v>4124.9785605341531</v>
      </c>
      <c r="F56" s="89">
        <f t="shared" ca="1" si="0"/>
        <v>25644.073463158529</v>
      </c>
      <c r="G56" s="139">
        <f ca="1">IF(ROUND(SUM(B56:C56,-F56),0)=0,0,IF($B$6="Yes",SUM($C$9:C56),SUM(B56:C56,-F56)))</f>
        <v>445782.04774074472</v>
      </c>
    </row>
    <row r="57" spans="1:7" ht="15" customHeight="1" x14ac:dyDescent="0.3">
      <c r="A57" s="138">
        <f t="shared" ca="1" si="1"/>
        <v>43890</v>
      </c>
      <c r="B57" s="89">
        <f t="shared" ca="1" si="2"/>
        <v>445782.04774074472</v>
      </c>
      <c r="C57" s="89">
        <f ca="1">IF(ISNA(MATCH($A57,LoanMonths,0))=TRUE,0,OFFSET(Forecast!$B$73,0,MATCH($A57,LoanMonths,0),1,1))</f>
        <v>0</v>
      </c>
      <c r="D57" s="140">
        <f t="shared" ca="1" si="3"/>
        <v>29769.052023692682</v>
      </c>
      <c r="E57" s="140">
        <f t="shared" ca="1" si="4"/>
        <v>3900.5929177315161</v>
      </c>
      <c r="F57" s="89">
        <f t="shared" ca="1" si="0"/>
        <v>25868.459105961167</v>
      </c>
      <c r="G57" s="139">
        <f ca="1">IF(ROUND(SUM(B57:C57,-F57),0)=0,0,IF($B$6="Yes",SUM($C$9:C57),SUM(B57:C57,-F57)))</f>
        <v>419913.58863478358</v>
      </c>
    </row>
    <row r="58" spans="1:7" ht="15" customHeight="1" x14ac:dyDescent="0.3">
      <c r="A58" s="138">
        <f t="shared" ca="1" si="1"/>
        <v>43921</v>
      </c>
      <c r="B58" s="89">
        <f t="shared" ca="1" si="2"/>
        <v>419913.58863478358</v>
      </c>
      <c r="C58" s="89">
        <f ca="1">IF(ISNA(MATCH($A58,LoanMonths,0))=TRUE,0,OFFSET(Forecast!$B$73,0,MATCH($A58,LoanMonths,0),1,1))</f>
        <v>0</v>
      </c>
      <c r="D58" s="140">
        <f t="shared" ca="1" si="3"/>
        <v>29769.052023692682</v>
      </c>
      <c r="E58" s="140">
        <f t="shared" ca="1" si="4"/>
        <v>3674.2439005543561</v>
      </c>
      <c r="F58" s="89">
        <f t="shared" ca="1" si="0"/>
        <v>26094.808123138326</v>
      </c>
      <c r="G58" s="139">
        <f ca="1">IF(ROUND(SUM(B58:C58,-F58),0)=0,0,IF($B$6="Yes",SUM($C$9:C58),SUM(B58:C58,-F58)))</f>
        <v>393818.78051164525</v>
      </c>
    </row>
    <row r="59" spans="1:7" ht="15" customHeight="1" x14ac:dyDescent="0.3">
      <c r="A59" s="138">
        <f t="shared" ca="1" si="1"/>
        <v>43951</v>
      </c>
      <c r="B59" s="89">
        <f t="shared" ca="1" si="2"/>
        <v>393818.78051164525</v>
      </c>
      <c r="C59" s="89">
        <f ca="1">IF(ISNA(MATCH($A59,LoanMonths,0))=TRUE,0,OFFSET(Forecast!$B$73,0,MATCH($A59,LoanMonths,0),1,1))</f>
        <v>0</v>
      </c>
      <c r="D59" s="140">
        <f t="shared" ca="1" si="3"/>
        <v>29769.052023692682</v>
      </c>
      <c r="E59" s="140">
        <f t="shared" ca="1" si="4"/>
        <v>3445.914329476896</v>
      </c>
      <c r="F59" s="89">
        <f t="shared" ca="1" si="0"/>
        <v>26323.137694215788</v>
      </c>
      <c r="G59" s="139">
        <f ca="1">IF(ROUND(SUM(B59:C59,-F59),0)=0,0,IF($B$6="Yes",SUM($C$9:C59),SUM(B59:C59,-F59)))</f>
        <v>367495.64281742944</v>
      </c>
    </row>
    <row r="60" spans="1:7" ht="15" customHeight="1" x14ac:dyDescent="0.3">
      <c r="A60" s="138">
        <f t="shared" ca="1" si="1"/>
        <v>43982</v>
      </c>
      <c r="B60" s="89">
        <f t="shared" ca="1" si="2"/>
        <v>367495.64281742944</v>
      </c>
      <c r="C60" s="89">
        <f ca="1">IF(ISNA(MATCH($A60,LoanMonths,0))=TRUE,0,OFFSET(Forecast!$B$73,0,MATCH($A60,LoanMonths,0),1,1))</f>
        <v>0</v>
      </c>
      <c r="D60" s="140">
        <f t="shared" ca="1" si="3"/>
        <v>29769.052023692682</v>
      </c>
      <c r="E60" s="140">
        <f t="shared" ca="1" si="4"/>
        <v>3215.586874652507</v>
      </c>
      <c r="F60" s="89">
        <f t="shared" ca="1" si="0"/>
        <v>26553.465149040174</v>
      </c>
      <c r="G60" s="139">
        <f ca="1">IF(ROUND(SUM(B60:C60,-F60),0)=0,0,IF($B$6="Yes",SUM($C$9:C60),SUM(B60:C60,-F60)))</f>
        <v>340942.17766838928</v>
      </c>
    </row>
    <row r="61" spans="1:7" ht="15" customHeight="1" x14ac:dyDescent="0.3">
      <c r="A61" s="138">
        <f t="shared" ca="1" si="1"/>
        <v>44012</v>
      </c>
      <c r="B61" s="89">
        <f t="shared" ca="1" si="2"/>
        <v>340942.17766838928</v>
      </c>
      <c r="C61" s="89">
        <f ca="1">IF(ISNA(MATCH($A61,LoanMonths,0))=TRUE,0,OFFSET(Forecast!$B$73,0,MATCH($A61,LoanMonths,0),1,1))</f>
        <v>0</v>
      </c>
      <c r="D61" s="140">
        <f t="shared" ca="1" si="3"/>
        <v>29769.052023692682</v>
      </c>
      <c r="E61" s="140">
        <f t="shared" ca="1" si="4"/>
        <v>2983.2440545984064</v>
      </c>
      <c r="F61" s="89">
        <f t="shared" ca="1" si="0"/>
        <v>26785.807969094276</v>
      </c>
      <c r="G61" s="139">
        <f ca="1">IF(ROUND(SUM(B61:C61,-F61),0)=0,0,IF($B$6="Yes",SUM($C$9:C61),SUM(B61:C61,-F61)))</f>
        <v>314156.36969929503</v>
      </c>
    </row>
    <row r="62" spans="1:7" ht="15" customHeight="1" x14ac:dyDescent="0.3">
      <c r="A62" s="138">
        <f t="shared" ca="1" si="1"/>
        <v>44043</v>
      </c>
      <c r="B62" s="89">
        <f t="shared" ca="1" si="2"/>
        <v>314156.36969929503</v>
      </c>
      <c r="C62" s="89">
        <f ca="1">IF(ISNA(MATCH($A62,LoanMonths,0))=TRUE,0,OFFSET(Forecast!$B$73,0,MATCH($A62,LoanMonths,0),1,1))</f>
        <v>0</v>
      </c>
      <c r="D62" s="140">
        <f t="shared" ca="1" si="3"/>
        <v>29769.052023692682</v>
      </c>
      <c r="E62" s="140">
        <f t="shared" ca="1" si="4"/>
        <v>2748.8682348688312</v>
      </c>
      <c r="F62" s="89">
        <f t="shared" ca="1" si="0"/>
        <v>27020.183788823852</v>
      </c>
      <c r="G62" s="139">
        <f ca="1">IF(ROUND(SUM(B62:C62,-F62),0)=0,0,IF($B$6="Yes",SUM($C$9:C62),SUM(B62:C62,-F62)))</f>
        <v>287136.18591047119</v>
      </c>
    </row>
    <row r="63" spans="1:7" ht="15" customHeight="1" x14ac:dyDescent="0.3">
      <c r="A63" s="138">
        <f t="shared" ca="1" si="1"/>
        <v>44074</v>
      </c>
      <c r="B63" s="89">
        <f t="shared" ca="1" si="2"/>
        <v>287136.18591047119</v>
      </c>
      <c r="C63" s="89">
        <f ca="1">IF(ISNA(MATCH($A63,LoanMonths,0))=TRUE,0,OFFSET(Forecast!$B$73,0,MATCH($A63,LoanMonths,0),1,1))</f>
        <v>0</v>
      </c>
      <c r="D63" s="140">
        <f t="shared" ca="1" si="3"/>
        <v>29769.052023692682</v>
      </c>
      <c r="E63" s="140">
        <f t="shared" ca="1" si="4"/>
        <v>2512.441626716623</v>
      </c>
      <c r="F63" s="89">
        <f t="shared" ca="1" si="0"/>
        <v>27256.610396976059</v>
      </c>
      <c r="G63" s="139">
        <f ca="1">IF(ROUND(SUM(B63:C63,-F63),0)=0,0,IF($B$6="Yes",SUM($C$9:C63),SUM(B63:C63,-F63)))</f>
        <v>259879.57551349513</v>
      </c>
    </row>
    <row r="64" spans="1:7" ht="15" customHeight="1" x14ac:dyDescent="0.3">
      <c r="A64" s="138">
        <f t="shared" ca="1" si="1"/>
        <v>44104</v>
      </c>
      <c r="B64" s="89">
        <f t="shared" ca="1" si="2"/>
        <v>259879.57551349513</v>
      </c>
      <c r="C64" s="89">
        <f ca="1">IF(ISNA(MATCH($A64,LoanMonths,0))=TRUE,0,OFFSET(Forecast!$B$73,0,MATCH($A64,LoanMonths,0),1,1))</f>
        <v>0</v>
      </c>
      <c r="D64" s="140">
        <f t="shared" ca="1" si="3"/>
        <v>29769.052023692682</v>
      </c>
      <c r="E64" s="140">
        <f t="shared" ca="1" si="4"/>
        <v>2273.9462857430822</v>
      </c>
      <c r="F64" s="89">
        <f t="shared" ca="1" si="0"/>
        <v>27495.105737949601</v>
      </c>
      <c r="G64" s="139">
        <f ca="1">IF(ROUND(SUM(B64:C64,-F64),0)=0,0,IF($B$6="Yes",SUM($C$9:C64),SUM(B64:C64,-F64)))</f>
        <v>232384.46977554553</v>
      </c>
    </row>
    <row r="65" spans="1:7" ht="15" customHeight="1" x14ac:dyDescent="0.3">
      <c r="A65" s="138">
        <f t="shared" ca="1" si="1"/>
        <v>44135</v>
      </c>
      <c r="B65" s="89">
        <f t="shared" ca="1" si="2"/>
        <v>232384.46977554553</v>
      </c>
      <c r="C65" s="89">
        <f ca="1">IF(ISNA(MATCH($A65,LoanMonths,0))=TRUE,0,OFFSET(Forecast!$B$73,0,MATCH($A65,LoanMonths,0),1,1))</f>
        <v>0</v>
      </c>
      <c r="D65" s="140">
        <f t="shared" ca="1" si="3"/>
        <v>29769.052023692682</v>
      </c>
      <c r="E65" s="140">
        <f t="shared" ca="1" si="4"/>
        <v>2033.3641105360232</v>
      </c>
      <c r="F65" s="89">
        <f t="shared" ca="1" si="0"/>
        <v>27735.68791315666</v>
      </c>
      <c r="G65" s="139">
        <f ca="1">IF(ROUND(SUM(B65:C65,-F65),0)=0,0,IF($B$6="Yes",SUM($C$9:C65),SUM(B65:C65,-F65)))</f>
        <v>204648.78186238886</v>
      </c>
    </row>
    <row r="66" spans="1:7" ht="15" customHeight="1" x14ac:dyDescent="0.3">
      <c r="A66" s="138">
        <f t="shared" ca="1" si="1"/>
        <v>44165</v>
      </c>
      <c r="B66" s="89">
        <f t="shared" ca="1" si="2"/>
        <v>204648.78186238886</v>
      </c>
      <c r="C66" s="89">
        <f ca="1">IF(ISNA(MATCH($A66,LoanMonths,0))=TRUE,0,OFFSET(Forecast!$B$73,0,MATCH($A66,LoanMonths,0),1,1))</f>
        <v>0</v>
      </c>
      <c r="D66" s="140">
        <f t="shared" ca="1" si="3"/>
        <v>29769.052023692682</v>
      </c>
      <c r="E66" s="140">
        <f t="shared" ca="1" si="4"/>
        <v>1790.6768412959025</v>
      </c>
      <c r="F66" s="89">
        <f t="shared" ca="1" si="0"/>
        <v>27978.37518239678</v>
      </c>
      <c r="G66" s="139">
        <f ca="1">IF(ROUND(SUM(B66:C66,-F66),0)=0,0,IF($B$6="Yes",SUM($C$9:C66),SUM(B66:C66,-F66)))</f>
        <v>176670.40667999207</v>
      </c>
    </row>
    <row r="67" spans="1:7" ht="15" customHeight="1" x14ac:dyDescent="0.3">
      <c r="A67" s="138">
        <f t="shared" ca="1" si="1"/>
        <v>44196</v>
      </c>
      <c r="B67" s="89">
        <f t="shared" ca="1" si="2"/>
        <v>176670.40667999207</v>
      </c>
      <c r="C67" s="89">
        <f ca="1">IF(ISNA(MATCH($A67,LoanMonths,0))=TRUE,0,OFFSET(Forecast!$B$73,0,MATCH($A67,LoanMonths,0),1,1))</f>
        <v>0</v>
      </c>
      <c r="D67" s="140">
        <f t="shared" ca="1" si="3"/>
        <v>29769.052023692682</v>
      </c>
      <c r="E67" s="140">
        <f t="shared" ca="1" si="4"/>
        <v>1545.8660584499305</v>
      </c>
      <c r="F67" s="89">
        <f t="shared" ca="1" si="0"/>
        <v>28223.185965242752</v>
      </c>
      <c r="G67" s="139">
        <f ca="1">IF(ROUND(SUM(B67:C67,-F67),0)=0,0,IF($B$6="Yes",SUM($C$9:C67),SUM(B67:C67,-F67)))</f>
        <v>148447.2207147493</v>
      </c>
    </row>
    <row r="68" spans="1:7" ht="15" customHeight="1" x14ac:dyDescent="0.3">
      <c r="A68" s="138">
        <f t="shared" ca="1" si="1"/>
        <v>44227</v>
      </c>
      <c r="B68" s="89">
        <f t="shared" ca="1" si="2"/>
        <v>148447.2207147493</v>
      </c>
      <c r="C68" s="89">
        <f ca="1">IF(ISNA(MATCH($A68,LoanMonths,0))=TRUE,0,OFFSET(Forecast!$B$73,0,MATCH($A68,LoanMonths,0),1,1))</f>
        <v>0</v>
      </c>
      <c r="D68" s="140">
        <f t="shared" ca="1" si="3"/>
        <v>29769.052023692682</v>
      </c>
      <c r="E68" s="140">
        <f t="shared" ca="1" si="4"/>
        <v>1298.9131812540563</v>
      </c>
      <c r="F68" s="89">
        <f t="shared" ca="1" si="0"/>
        <v>28470.138842438624</v>
      </c>
      <c r="G68" s="139">
        <f ca="1">IF(ROUND(SUM(B68:C68,-F68),0)=0,0,IF($B$6="Yes",SUM($C$9:C68),SUM(B68:C68,-F68)))</f>
        <v>119977.08187231068</v>
      </c>
    </row>
    <row r="69" spans="1:7" ht="15" customHeight="1" x14ac:dyDescent="0.3">
      <c r="A69" s="138">
        <f t="shared" ca="1" si="1"/>
        <v>44255</v>
      </c>
      <c r="B69" s="89">
        <f t="shared" ca="1" si="2"/>
        <v>119977.08187231068</v>
      </c>
      <c r="C69" s="89">
        <f ca="1">IF(ISNA(MATCH($A69,LoanMonths,0))=TRUE,0,OFFSET(Forecast!$B$73,0,MATCH($A69,LoanMonths,0),1,1))</f>
        <v>0</v>
      </c>
      <c r="D69" s="140">
        <f t="shared" ca="1" si="3"/>
        <v>29769.052023692682</v>
      </c>
      <c r="E69" s="140">
        <f t="shared" ca="1" si="4"/>
        <v>1049.7994663827183</v>
      </c>
      <c r="F69" s="89">
        <f t="shared" ca="1" si="0"/>
        <v>28719.252557309963</v>
      </c>
      <c r="G69" s="139">
        <f ca="1">IF(ROUND(SUM(B69:C69,-F69),0)=0,0,IF($B$6="Yes",SUM($C$9:C69),SUM(B69:C69,-F69)))</f>
        <v>91257.829315000708</v>
      </c>
    </row>
    <row r="70" spans="1:7" ht="15" customHeight="1" x14ac:dyDescent="0.3">
      <c r="A70" s="138">
        <f t="shared" ca="1" si="1"/>
        <v>44286</v>
      </c>
      <c r="B70" s="89">
        <f t="shared" ca="1" si="2"/>
        <v>91257.829315000708</v>
      </c>
      <c r="C70" s="89">
        <f ca="1">IF(ISNA(MATCH($A70,LoanMonths,0))=TRUE,0,OFFSET(Forecast!$B$73,0,MATCH($A70,LoanMonths,0),1,1))</f>
        <v>0</v>
      </c>
      <c r="D70" s="140">
        <f t="shared" ca="1" si="3"/>
        <v>6125.7616077634766</v>
      </c>
      <c r="E70" s="140">
        <f t="shared" ca="1" si="4"/>
        <v>798.5060065062562</v>
      </c>
      <c r="F70" s="89">
        <f t="shared" ca="1" si="0"/>
        <v>5327.2556012572204</v>
      </c>
      <c r="G70" s="139">
        <f ca="1">IF(ROUND(SUM(B70:C70,-F70),0)=0,0,IF($B$6="Yes",SUM($C$9:C70),SUM(B70:C70,-F70)))</f>
        <v>85930.573713743492</v>
      </c>
    </row>
    <row r="71" spans="1:7" ht="15" customHeight="1" x14ac:dyDescent="0.3">
      <c r="A71" s="138">
        <f t="shared" ca="1" si="1"/>
        <v>44316</v>
      </c>
      <c r="B71" s="89">
        <f t="shared" ca="1" si="2"/>
        <v>85930.573713743492</v>
      </c>
      <c r="C71" s="89">
        <f ca="1">IF(ISNA(MATCH($A71,LoanMonths,0))=TRUE,0,OFFSET(Forecast!$B$73,0,MATCH($A71,LoanMonths,0),1,1))</f>
        <v>0</v>
      </c>
      <c r="D71" s="140">
        <f t="shared" ca="1" si="3"/>
        <v>6125.7616077634766</v>
      </c>
      <c r="E71" s="140">
        <f t="shared" ca="1" si="4"/>
        <v>751.8925199952555</v>
      </c>
      <c r="F71" s="89">
        <f t="shared" ca="1" si="0"/>
        <v>5373.8690877682211</v>
      </c>
      <c r="G71" s="139">
        <f ca="1">IF(ROUND(SUM(B71:C71,-F71),0)=0,0,IF($B$6="Yes",SUM($C$9:C71),SUM(B71:C71,-F71)))</f>
        <v>80556.704625975268</v>
      </c>
    </row>
    <row r="72" spans="1:7" ht="15" customHeight="1" x14ac:dyDescent="0.3">
      <c r="A72" s="138">
        <f t="shared" ca="1" si="1"/>
        <v>44347</v>
      </c>
      <c r="B72" s="89">
        <f t="shared" ca="1" si="2"/>
        <v>80556.704625975268</v>
      </c>
      <c r="C72" s="89">
        <f ca="1">IF(ISNA(MATCH($A72,LoanMonths,0))=TRUE,0,OFFSET(Forecast!$B$73,0,MATCH($A72,LoanMonths,0),1,1))</f>
        <v>0</v>
      </c>
      <c r="D72" s="140">
        <f t="shared" ca="1" si="3"/>
        <v>6125.7616077634766</v>
      </c>
      <c r="E72" s="140">
        <f t="shared" ca="1" si="4"/>
        <v>704.87116547728363</v>
      </c>
      <c r="F72" s="89">
        <f t="shared" ca="1" si="0"/>
        <v>5420.8904422861933</v>
      </c>
      <c r="G72" s="139">
        <f ca="1">IF(ROUND(SUM(B72:C72,-F72),0)=0,0,IF($B$6="Yes",SUM($C$9:C72),SUM(B72:C72,-F72)))</f>
        <v>75135.814183689072</v>
      </c>
    </row>
    <row r="73" spans="1:7" ht="15" customHeight="1" x14ac:dyDescent="0.3">
      <c r="A73" s="138">
        <f t="shared" ca="1" si="1"/>
        <v>44377</v>
      </c>
      <c r="B73" s="89">
        <f t="shared" ca="1" si="2"/>
        <v>75135.814183689072</v>
      </c>
      <c r="C73" s="89">
        <f ca="1">IF(ISNA(MATCH($A73,LoanMonths,0))=TRUE,0,OFFSET(Forecast!$B$73,0,MATCH($A73,LoanMonths,0),1,1))</f>
        <v>0</v>
      </c>
      <c r="D73" s="140">
        <f t="shared" ca="1" si="3"/>
        <v>6125.7616077634766</v>
      </c>
      <c r="E73" s="140">
        <f t="shared" ca="1" si="4"/>
        <v>657.4383741072794</v>
      </c>
      <c r="F73" s="89">
        <f t="shared" ca="1" si="0"/>
        <v>5468.3232336561969</v>
      </c>
      <c r="G73" s="139">
        <f ca="1">IF(ROUND(SUM(B73:C73,-F73),0)=0,0,IF($B$6="Yes",SUM($C$9:C73),SUM(B73:C73,-F73)))</f>
        <v>69667.490950032879</v>
      </c>
    </row>
    <row r="74" spans="1:7" ht="15" customHeight="1" x14ac:dyDescent="0.3">
      <c r="A74" s="138">
        <f t="shared" ca="1" si="1"/>
        <v>44408</v>
      </c>
      <c r="B74" s="89">
        <f t="shared" ca="1" si="2"/>
        <v>69667.490950032879</v>
      </c>
      <c r="C74" s="89">
        <f ca="1">IF(ISNA(MATCH($A74,LoanMonths,0))=TRUE,0,OFFSET(Forecast!$B$73,0,MATCH($A74,LoanMonths,0),1,1))</f>
        <v>0</v>
      </c>
      <c r="D74" s="140">
        <f t="shared" ca="1" si="3"/>
        <v>3976.3715699517297</v>
      </c>
      <c r="E74" s="140">
        <f t="shared" ca="1" si="4"/>
        <v>609.5905458127877</v>
      </c>
      <c r="F74" s="89">
        <f t="shared" ref="F74:F128" ca="1" si="5">IF($B$6="Yes",0,D74-E74)</f>
        <v>3366.781024138942</v>
      </c>
      <c r="G74" s="139">
        <f ca="1">IF(ROUND(SUM(B74:C74,-F74),0)=0,0,IF($B$6="Yes",SUM($C$9:C74),SUM(B74:C74,-F74)))</f>
        <v>66300.709925893942</v>
      </c>
    </row>
    <row r="75" spans="1:7" ht="15" customHeight="1" x14ac:dyDescent="0.3">
      <c r="A75" s="138">
        <f t="shared" ref="A75:A125" ca="1" si="6">DATE(YEAR(A74),MONTH(A74)+2,0)</f>
        <v>44439</v>
      </c>
      <c r="B75" s="89">
        <f t="shared" ref="B75:B138" ca="1" si="7">G74</f>
        <v>66300.709925893942</v>
      </c>
      <c r="C75" s="89">
        <f ca="1">IF(ISNA(MATCH($A75,LoanMonths,0))=TRUE,0,OFFSET(Forecast!$B$73,0,MATCH($A75,LoanMonths,0),1,1))</f>
        <v>0</v>
      </c>
      <c r="D75" s="140">
        <f t="shared" ref="D75:D138" ca="1" si="8">IF($B$6="Yes",0,IF(ROW(C75)-ROW($C$9)&gt;$B$5*12,-PMT($B$4/12,$B$5*12,SUM(OFFSET(C75,0,0,-$B$5*12,1)),0,0),-PMT($B$4/12,$B$5*12,SUM(OFFSET(C75,0,0,ROW($C$8)-ROW(C75),1)),0,0)))</f>
        <v>3976.3715699517297</v>
      </c>
      <c r="E75" s="140">
        <f t="shared" ref="E75:E128" ca="1" si="9">(G74+C75)*$B$4/12</f>
        <v>580.13121185157195</v>
      </c>
      <c r="F75" s="89">
        <f t="shared" ca="1" si="5"/>
        <v>3396.2403581001577</v>
      </c>
      <c r="G75" s="139">
        <f ca="1">IF(ROUND(SUM(B75:C75,-F75),0)=0,0,IF($B$6="Yes",SUM($C$9:C75),SUM(B75:C75,-F75)))</f>
        <v>62904.469567793785</v>
      </c>
    </row>
    <row r="76" spans="1:7" ht="15" customHeight="1" x14ac:dyDescent="0.3">
      <c r="A76" s="138">
        <f t="shared" ca="1" si="6"/>
        <v>44469</v>
      </c>
      <c r="B76" s="89">
        <f t="shared" ca="1" si="7"/>
        <v>62904.469567793785</v>
      </c>
      <c r="C76" s="89">
        <f ca="1">IF(ISNA(MATCH($A76,LoanMonths,0))=TRUE,0,OFFSET(Forecast!$B$73,0,MATCH($A76,LoanMonths,0),1,1))</f>
        <v>0</v>
      </c>
      <c r="D76" s="140">
        <f t="shared" ca="1" si="8"/>
        <v>3976.3715699517297</v>
      </c>
      <c r="E76" s="140">
        <f t="shared" ca="1" si="9"/>
        <v>550.41410871819562</v>
      </c>
      <c r="F76" s="89">
        <f t="shared" ca="1" si="5"/>
        <v>3425.9574612335341</v>
      </c>
      <c r="G76" s="139">
        <f ca="1">IF(ROUND(SUM(B76:C76,-F76),0)=0,0,IF($B$6="Yes",SUM($C$9:C76),SUM(B76:C76,-F76)))</f>
        <v>59478.512106560251</v>
      </c>
    </row>
    <row r="77" spans="1:7" ht="15" customHeight="1" x14ac:dyDescent="0.3">
      <c r="A77" s="138">
        <f t="shared" ca="1" si="6"/>
        <v>44500</v>
      </c>
      <c r="B77" s="89">
        <f t="shared" ca="1" si="7"/>
        <v>59478.512106560251</v>
      </c>
      <c r="C77" s="89">
        <f ca="1">IF(ISNA(MATCH($A77,LoanMonths,0))=TRUE,0,OFFSET(Forecast!$B$73,0,MATCH($A77,LoanMonths,0),1,1))</f>
        <v>0</v>
      </c>
      <c r="D77" s="140">
        <f t="shared" ca="1" si="8"/>
        <v>3976.3715699517297</v>
      </c>
      <c r="E77" s="140">
        <f t="shared" ca="1" si="9"/>
        <v>520.43698093240221</v>
      </c>
      <c r="F77" s="89">
        <f t="shared" ca="1" si="5"/>
        <v>3455.9345890193276</v>
      </c>
      <c r="G77" s="139">
        <f ca="1">IF(ROUND(SUM(B77:C77,-F77),0)=0,0,IF($B$6="Yes",SUM($C$9:C77),SUM(B77:C77,-F77)))</f>
        <v>56022.577517540922</v>
      </c>
    </row>
    <row r="78" spans="1:7" ht="15" customHeight="1" x14ac:dyDescent="0.3">
      <c r="A78" s="138">
        <f t="shared" ca="1" si="6"/>
        <v>44530</v>
      </c>
      <c r="B78" s="89">
        <f t="shared" ca="1" si="7"/>
        <v>56022.577517540922</v>
      </c>
      <c r="C78" s="89">
        <f ca="1">IF(ISNA(MATCH($A78,LoanMonths,0))=TRUE,0,OFFSET(Forecast!$B$73,0,MATCH($A78,LoanMonths,0),1,1))</f>
        <v>0</v>
      </c>
      <c r="D78" s="140">
        <f t="shared" ca="1" si="8"/>
        <v>3976.3715699517297</v>
      </c>
      <c r="E78" s="140">
        <f t="shared" ca="1" si="9"/>
        <v>490.1975532784831</v>
      </c>
      <c r="F78" s="89">
        <f t="shared" ca="1" si="5"/>
        <v>3486.1740166732466</v>
      </c>
      <c r="G78" s="139">
        <f ca="1">IF(ROUND(SUM(B78:C78,-F78),0)=0,0,IF($B$6="Yes",SUM($C$9:C78),SUM(B78:C78,-F78)))</f>
        <v>52536.403500867673</v>
      </c>
    </row>
    <row r="79" spans="1:7" ht="15" customHeight="1" x14ac:dyDescent="0.3">
      <c r="A79" s="138">
        <f t="shared" ca="1" si="6"/>
        <v>44561</v>
      </c>
      <c r="B79" s="89">
        <f t="shared" ca="1" si="7"/>
        <v>52536.403500867673</v>
      </c>
      <c r="C79" s="89">
        <f ca="1">IF(ISNA(MATCH($A79,LoanMonths,0))=TRUE,0,OFFSET(Forecast!$B$73,0,MATCH($A79,LoanMonths,0),1,1))</f>
        <v>0</v>
      </c>
      <c r="D79" s="140">
        <f t="shared" ca="1" si="8"/>
        <v>3976.3715699517297</v>
      </c>
      <c r="E79" s="140">
        <f t="shared" ca="1" si="9"/>
        <v>459.69353063259217</v>
      </c>
      <c r="F79" s="89">
        <f t="shared" ca="1" si="5"/>
        <v>3516.6780393191375</v>
      </c>
      <c r="G79" s="139">
        <f ca="1">IF(ROUND(SUM(B79:C79,-F79),0)=0,0,IF($B$6="Yes",SUM($C$9:C79),SUM(B79:C79,-F79)))</f>
        <v>49019.725461548536</v>
      </c>
    </row>
    <row r="80" spans="1:7" ht="15" customHeight="1" x14ac:dyDescent="0.3">
      <c r="A80" s="138">
        <f t="shared" ca="1" si="6"/>
        <v>44592</v>
      </c>
      <c r="B80" s="89">
        <f t="shared" ca="1" si="7"/>
        <v>49019.725461548536</v>
      </c>
      <c r="C80" s="89">
        <f ca="1">IF(ISNA(MATCH($A80,LoanMonths,0))=TRUE,0,OFFSET(Forecast!$B$73,0,MATCH($A80,LoanMonths,0),1,1))</f>
        <v>0</v>
      </c>
      <c r="D80" s="140">
        <f t="shared" ca="1" si="8"/>
        <v>3976.3715699517297</v>
      </c>
      <c r="E80" s="140">
        <f t="shared" ca="1" si="9"/>
        <v>428.92259778854969</v>
      </c>
      <c r="F80" s="89">
        <f t="shared" ca="1" si="5"/>
        <v>3547.4489721631799</v>
      </c>
      <c r="G80" s="139">
        <f ca="1">IF(ROUND(SUM(B80:C80,-F80),0)=0,0,IF($B$6="Yes",SUM($C$9:C80),SUM(B80:C80,-F80)))</f>
        <v>45472.27648938536</v>
      </c>
    </row>
    <row r="81" spans="1:7" ht="15" customHeight="1" x14ac:dyDescent="0.3">
      <c r="A81" s="138">
        <f t="shared" ca="1" si="6"/>
        <v>44620</v>
      </c>
      <c r="B81" s="89">
        <f t="shared" ca="1" si="7"/>
        <v>45472.27648938536</v>
      </c>
      <c r="C81" s="89">
        <f ca="1">IF(ISNA(MATCH($A81,LoanMonths,0))=TRUE,0,OFFSET(Forecast!$B$73,0,MATCH($A81,LoanMonths,0),1,1))</f>
        <v>0</v>
      </c>
      <c r="D81" s="140">
        <f t="shared" ca="1" si="8"/>
        <v>3976.3715699517297</v>
      </c>
      <c r="E81" s="140">
        <f t="shared" ca="1" si="9"/>
        <v>397.88241928212187</v>
      </c>
      <c r="F81" s="89">
        <f t="shared" ca="1" si="5"/>
        <v>3578.4891506696076</v>
      </c>
      <c r="G81" s="139">
        <f ca="1">IF(ROUND(SUM(B81:C81,-F81),0)=0,0,IF($B$6="Yes",SUM($C$9:C81),SUM(B81:C81,-F81)))</f>
        <v>41893.787338715752</v>
      </c>
    </row>
    <row r="82" spans="1:7" ht="15" customHeight="1" x14ac:dyDescent="0.3">
      <c r="A82" s="138">
        <f t="shared" ca="1" si="6"/>
        <v>44651</v>
      </c>
      <c r="B82" s="89">
        <f t="shared" ca="1" si="7"/>
        <v>41893.787338715752</v>
      </c>
      <c r="C82" s="89">
        <f ca="1">IF(ISNA(MATCH($A82,LoanMonths,0))=TRUE,0,OFFSET(Forecast!$B$73,0,MATCH($A82,LoanMonths,0),1,1))</f>
        <v>0</v>
      </c>
      <c r="D82" s="140">
        <f t="shared" ca="1" si="8"/>
        <v>3976.3715699517297</v>
      </c>
      <c r="E82" s="140">
        <f t="shared" ca="1" si="9"/>
        <v>366.57063921376283</v>
      </c>
      <c r="F82" s="89">
        <f t="shared" ca="1" si="5"/>
        <v>3609.8009307379671</v>
      </c>
      <c r="G82" s="139">
        <f ca="1">IF(ROUND(SUM(B82:C82,-F82),0)=0,0,IF($B$6="Yes",SUM($C$9:C82),SUM(B82:C82,-F82)))</f>
        <v>38283.986407977784</v>
      </c>
    </row>
    <row r="83" spans="1:7" ht="15" customHeight="1" x14ac:dyDescent="0.3">
      <c r="A83" s="138">
        <f t="shared" ca="1" si="6"/>
        <v>44681</v>
      </c>
      <c r="B83" s="89">
        <f t="shared" ca="1" si="7"/>
        <v>38283.986407977784</v>
      </c>
      <c r="C83" s="89">
        <f ca="1">IF(ISNA(MATCH($A83,LoanMonths,0))=TRUE,0,OFFSET(Forecast!$B$73,0,MATCH($A83,LoanMonths,0),1,1))</f>
        <v>0</v>
      </c>
      <c r="D83" s="140">
        <f t="shared" ca="1" si="8"/>
        <v>3976.3715699517297</v>
      </c>
      <c r="E83" s="140">
        <f t="shared" ca="1" si="9"/>
        <v>334.98488106980557</v>
      </c>
      <c r="F83" s="89">
        <f t="shared" ca="1" si="5"/>
        <v>3641.3866888819243</v>
      </c>
      <c r="G83" s="139">
        <f ca="1">IF(ROUND(SUM(B83:C83,-F83),0)=0,0,IF($B$6="Yes",SUM($C$9:C83),SUM(B83:C83,-F83)))</f>
        <v>34642.599719095859</v>
      </c>
    </row>
    <row r="84" spans="1:7" ht="15" customHeight="1" x14ac:dyDescent="0.3">
      <c r="A84" s="138">
        <f t="shared" ca="1" si="6"/>
        <v>44712</v>
      </c>
      <c r="B84" s="89">
        <f t="shared" ca="1" si="7"/>
        <v>34642.599719095859</v>
      </c>
      <c r="C84" s="89">
        <f ca="1">IF(ISNA(MATCH($A84,LoanMonths,0))=TRUE,0,OFFSET(Forecast!$B$73,0,MATCH($A84,LoanMonths,0),1,1))</f>
        <v>0</v>
      </c>
      <c r="D84" s="140">
        <f t="shared" ca="1" si="8"/>
        <v>3976.3715699517297</v>
      </c>
      <c r="E84" s="140">
        <f t="shared" ca="1" si="9"/>
        <v>303.12274754208875</v>
      </c>
      <c r="F84" s="89">
        <f t="shared" ca="1" si="5"/>
        <v>3673.248822409641</v>
      </c>
      <c r="G84" s="139">
        <f ca="1">IF(ROUND(SUM(B84:C84,-F84),0)=0,0,IF($B$6="Yes",SUM($C$9:C84),SUM(B84:C84,-F84)))</f>
        <v>30969.350896686217</v>
      </c>
    </row>
    <row r="85" spans="1:7" ht="15" customHeight="1" x14ac:dyDescent="0.3">
      <c r="A85" s="138">
        <f t="shared" ca="1" si="6"/>
        <v>44742</v>
      </c>
      <c r="B85" s="89">
        <f t="shared" ca="1" si="7"/>
        <v>30969.350896686217</v>
      </c>
      <c r="C85" s="89">
        <f ca="1">IF(ISNA(MATCH($A85,LoanMonths,0))=TRUE,0,OFFSET(Forecast!$B$73,0,MATCH($A85,LoanMonths,0),1,1))</f>
        <v>0</v>
      </c>
      <c r="D85" s="140">
        <f t="shared" ca="1" si="8"/>
        <v>2256.8595397023332</v>
      </c>
      <c r="E85" s="140">
        <f t="shared" ca="1" si="9"/>
        <v>270.98182034600438</v>
      </c>
      <c r="F85" s="89">
        <f t="shared" ca="1" si="5"/>
        <v>1985.8777193563287</v>
      </c>
      <c r="G85" s="139">
        <f ca="1">IF(ROUND(SUM(B85:C85,-F85),0)=0,0,IF($B$6="Yes",SUM($C$9:C85),SUM(B85:C85,-F85)))</f>
        <v>28983.473177329888</v>
      </c>
    </row>
    <row r="86" spans="1:7" ht="15" customHeight="1" x14ac:dyDescent="0.3">
      <c r="A86" s="138">
        <f t="shared" ca="1" si="6"/>
        <v>44773</v>
      </c>
      <c r="B86" s="89">
        <f t="shared" ca="1" si="7"/>
        <v>28983.473177329888</v>
      </c>
      <c r="C86" s="89">
        <f ca="1">IF(ISNA(MATCH($A86,LoanMonths,0))=TRUE,0,OFFSET(Forecast!$B$73,0,MATCH($A86,LoanMonths,0),1,1))</f>
        <v>0</v>
      </c>
      <c r="D86" s="140">
        <f t="shared" ca="1" si="8"/>
        <v>2256.8595397023332</v>
      </c>
      <c r="E86" s="140">
        <f t="shared" ca="1" si="9"/>
        <v>253.6053903016365</v>
      </c>
      <c r="F86" s="89">
        <f t="shared" ca="1" si="5"/>
        <v>2003.2541494006966</v>
      </c>
      <c r="G86" s="139">
        <f ca="1">IF(ROUND(SUM(B86:C86,-F86),0)=0,0,IF($B$6="Yes",SUM($C$9:C86),SUM(B86:C86,-F86)))</f>
        <v>26980.21902792919</v>
      </c>
    </row>
    <row r="87" spans="1:7" ht="15" customHeight="1" x14ac:dyDescent="0.3">
      <c r="A87" s="138">
        <f t="shared" ca="1" si="6"/>
        <v>44804</v>
      </c>
      <c r="B87" s="89">
        <f t="shared" ca="1" si="7"/>
        <v>26980.21902792919</v>
      </c>
      <c r="C87" s="89">
        <f ca="1">IF(ISNA(MATCH($A87,LoanMonths,0))=TRUE,0,OFFSET(Forecast!$B$73,0,MATCH($A87,LoanMonths,0),1,1))</f>
        <v>0</v>
      </c>
      <c r="D87" s="140">
        <f t="shared" ca="1" si="8"/>
        <v>2256.8595397023332</v>
      </c>
      <c r="E87" s="140">
        <f t="shared" ca="1" si="9"/>
        <v>236.07691649438038</v>
      </c>
      <c r="F87" s="89">
        <f t="shared" ca="1" si="5"/>
        <v>2020.7826232079528</v>
      </c>
      <c r="G87" s="139">
        <f ca="1">IF(ROUND(SUM(B87:C87,-F87),0)=0,0,IF($B$6="Yes",SUM($C$9:C87),SUM(B87:C87,-F87)))</f>
        <v>24959.436404721237</v>
      </c>
    </row>
    <row r="88" spans="1:7" ht="15" customHeight="1" x14ac:dyDescent="0.3">
      <c r="A88" s="138">
        <f t="shared" ca="1" si="6"/>
        <v>44834</v>
      </c>
      <c r="B88" s="89">
        <f t="shared" ca="1" si="7"/>
        <v>24959.436404721237</v>
      </c>
      <c r="C88" s="89">
        <f ca="1">IF(ISNA(MATCH($A88,LoanMonths,0))=TRUE,0,OFFSET(Forecast!$B$73,0,MATCH($A88,LoanMonths,0),1,1))</f>
        <v>0</v>
      </c>
      <c r="D88" s="140">
        <f t="shared" ca="1" si="8"/>
        <v>2256.8595397023332</v>
      </c>
      <c r="E88" s="140">
        <f t="shared" ca="1" si="9"/>
        <v>218.39506854131082</v>
      </c>
      <c r="F88" s="89">
        <f t="shared" ca="1" si="5"/>
        <v>2038.4644711610224</v>
      </c>
      <c r="G88" s="139">
        <f ca="1">IF(ROUND(SUM(B88:C88,-F88),0)=0,0,IF($B$6="Yes",SUM($C$9:C88),SUM(B88:C88,-F88)))</f>
        <v>22920.971933560213</v>
      </c>
    </row>
    <row r="89" spans="1:7" ht="15" customHeight="1" x14ac:dyDescent="0.3">
      <c r="A89" s="138">
        <f t="shared" ca="1" si="6"/>
        <v>44865</v>
      </c>
      <c r="B89" s="89">
        <f t="shared" ca="1" si="7"/>
        <v>22920.971933560213</v>
      </c>
      <c r="C89" s="89">
        <f ca="1">IF(ISNA(MATCH($A89,LoanMonths,0))=TRUE,0,OFFSET(Forecast!$B$73,0,MATCH($A89,LoanMonths,0),1,1))</f>
        <v>0</v>
      </c>
      <c r="D89" s="140">
        <f t="shared" ca="1" si="8"/>
        <v>2256.8595397023332</v>
      </c>
      <c r="E89" s="140">
        <f t="shared" ca="1" si="9"/>
        <v>200.55850441865186</v>
      </c>
      <c r="F89" s="89">
        <f t="shared" ca="1" si="5"/>
        <v>2056.3010352836814</v>
      </c>
      <c r="G89" s="139">
        <f ca="1">IF(ROUND(SUM(B89:C89,-F89),0)=0,0,IF($B$6="Yes",SUM($C$9:C89),SUM(B89:C89,-F89)))</f>
        <v>20864.67089827653</v>
      </c>
    </row>
    <row r="90" spans="1:7" ht="15" customHeight="1" x14ac:dyDescent="0.3">
      <c r="A90" s="138">
        <f t="shared" ca="1" si="6"/>
        <v>44895</v>
      </c>
      <c r="B90" s="89">
        <f t="shared" ca="1" si="7"/>
        <v>20864.67089827653</v>
      </c>
      <c r="C90" s="89">
        <f ca="1">IF(ISNA(MATCH($A90,LoanMonths,0))=TRUE,0,OFFSET(Forecast!$B$73,0,MATCH($A90,LoanMonths,0),1,1))</f>
        <v>0</v>
      </c>
      <c r="D90" s="140">
        <f t="shared" ca="1" si="8"/>
        <v>2256.8595397023332</v>
      </c>
      <c r="E90" s="140">
        <f t="shared" ca="1" si="9"/>
        <v>182.56587035991961</v>
      </c>
      <c r="F90" s="89">
        <f t="shared" ca="1" si="5"/>
        <v>2074.2936693424135</v>
      </c>
      <c r="G90" s="139">
        <f ca="1">IF(ROUND(SUM(B90:C90,-F90),0)=0,0,IF($B$6="Yes",SUM($C$9:C90),SUM(B90:C90,-F90)))</f>
        <v>18790.377228934118</v>
      </c>
    </row>
    <row r="91" spans="1:7" ht="15" customHeight="1" x14ac:dyDescent="0.3">
      <c r="A91" s="138">
        <f t="shared" ca="1" si="6"/>
        <v>44926</v>
      </c>
      <c r="B91" s="89">
        <f t="shared" ca="1" si="7"/>
        <v>18790.377228934118</v>
      </c>
      <c r="C91" s="89">
        <f ca="1">IF(ISNA(MATCH($A91,LoanMonths,0))=TRUE,0,OFFSET(Forecast!$B$73,0,MATCH($A91,LoanMonths,0),1,1))</f>
        <v>0</v>
      </c>
      <c r="D91" s="140">
        <f t="shared" ca="1" si="8"/>
        <v>2256.8595397023332</v>
      </c>
      <c r="E91" s="140">
        <f t="shared" ca="1" si="9"/>
        <v>164.41580075317353</v>
      </c>
      <c r="F91" s="89">
        <f t="shared" ca="1" si="5"/>
        <v>2092.4437389491595</v>
      </c>
      <c r="G91" s="139">
        <f ca="1">IF(ROUND(SUM(B91:C91,-F91),0)=0,0,IF($B$6="Yes",SUM($C$9:C91),SUM(B91:C91,-F91)))</f>
        <v>16697.933489984956</v>
      </c>
    </row>
    <row r="92" spans="1:7" ht="15" customHeight="1" x14ac:dyDescent="0.3">
      <c r="A92" s="138">
        <f t="shared" ca="1" si="6"/>
        <v>44957</v>
      </c>
      <c r="B92" s="89">
        <f t="shared" ca="1" si="7"/>
        <v>16697.933489984956</v>
      </c>
      <c r="C92" s="89">
        <f ca="1">IF(ISNA(MATCH($A92,LoanMonths,0))=TRUE,0,OFFSET(Forecast!$B$73,0,MATCH($A92,LoanMonths,0),1,1))</f>
        <v>0</v>
      </c>
      <c r="D92" s="140">
        <f t="shared" ca="1" si="8"/>
        <v>2256.8595397023332</v>
      </c>
      <c r="E92" s="140">
        <f t="shared" ca="1" si="9"/>
        <v>146.10691803736836</v>
      </c>
      <c r="F92" s="89">
        <f t="shared" ca="1" si="5"/>
        <v>2110.7526216649649</v>
      </c>
      <c r="G92" s="139">
        <f ca="1">IF(ROUND(SUM(B92:C92,-F92),0)=0,0,IF($B$6="Yes",SUM($C$9:C92),SUM(B92:C92,-F92)))</f>
        <v>14587.180868319992</v>
      </c>
    </row>
    <row r="93" spans="1:7" ht="15" customHeight="1" x14ac:dyDescent="0.3">
      <c r="A93" s="138">
        <f t="shared" ca="1" si="6"/>
        <v>44985</v>
      </c>
      <c r="B93" s="89">
        <f t="shared" ca="1" si="7"/>
        <v>14587.180868319992</v>
      </c>
      <c r="C93" s="89">
        <f ca="1">IF(ISNA(MATCH($A93,LoanMonths,0))=TRUE,0,OFFSET(Forecast!$B$73,0,MATCH($A93,LoanMonths,0),1,1))</f>
        <v>0</v>
      </c>
      <c r="D93" s="140">
        <f t="shared" ca="1" si="8"/>
        <v>2256.8595397023332</v>
      </c>
      <c r="E93" s="140">
        <f t="shared" ca="1" si="9"/>
        <v>127.63783259779994</v>
      </c>
      <c r="F93" s="89">
        <f t="shared" ca="1" si="5"/>
        <v>2129.2217071045334</v>
      </c>
      <c r="G93" s="139">
        <f ca="1">IF(ROUND(SUM(B93:C93,-F93),0)=0,0,IF($B$6="Yes",SUM($C$9:C93),SUM(B93:C93,-F93)))</f>
        <v>12457.959161215458</v>
      </c>
    </row>
    <row r="94" spans="1:7" ht="15" customHeight="1" x14ac:dyDescent="0.3">
      <c r="A94" s="138">
        <f t="shared" ca="1" si="6"/>
        <v>45016</v>
      </c>
      <c r="B94" s="89">
        <f t="shared" ca="1" si="7"/>
        <v>12457.959161215458</v>
      </c>
      <c r="C94" s="89">
        <f ca="1">IF(ISNA(MATCH($A94,LoanMonths,0))=TRUE,0,OFFSET(Forecast!$B$73,0,MATCH($A94,LoanMonths,0),1,1))</f>
        <v>0</v>
      </c>
      <c r="D94" s="140">
        <f t="shared" ca="1" si="8"/>
        <v>2256.8595397023332</v>
      </c>
      <c r="E94" s="140">
        <f t="shared" ca="1" si="9"/>
        <v>109.00714266063527</v>
      </c>
      <c r="F94" s="89">
        <f t="shared" ca="1" si="5"/>
        <v>2147.8523970416982</v>
      </c>
      <c r="G94" s="139">
        <f ca="1">IF(ROUND(SUM(B94:C94,-F94),0)=0,0,IF($B$6="Yes",SUM($C$9:C94),SUM(B94:C94,-F94)))</f>
        <v>10310.106764173761</v>
      </c>
    </row>
    <row r="95" spans="1:7" ht="15" customHeight="1" x14ac:dyDescent="0.3">
      <c r="A95" s="138">
        <f t="shared" ca="1" si="6"/>
        <v>45046</v>
      </c>
      <c r="B95" s="89">
        <f t="shared" ca="1" si="7"/>
        <v>10310.106764173761</v>
      </c>
      <c r="C95" s="89">
        <f ca="1">IF(ISNA(MATCH($A95,LoanMonths,0))=TRUE,0,OFFSET(Forecast!$B$73,0,MATCH($A95,LoanMonths,0),1,1))</f>
        <v>0</v>
      </c>
      <c r="D95" s="140">
        <f t="shared" ca="1" si="8"/>
        <v>2256.8595397023332</v>
      </c>
      <c r="E95" s="140">
        <f t="shared" ca="1" si="9"/>
        <v>90.213434186520416</v>
      </c>
      <c r="F95" s="89">
        <f t="shared" ca="1" si="5"/>
        <v>2166.6461055158129</v>
      </c>
      <c r="G95" s="139">
        <f ca="1">IF(ROUND(SUM(B95:C95,-F95),0)=0,0,IF($B$6="Yes",SUM($C$9:C95),SUM(B95:C95,-F95)))</f>
        <v>8143.4606586579484</v>
      </c>
    </row>
    <row r="96" spans="1:7" ht="15" customHeight="1" x14ac:dyDescent="0.3">
      <c r="A96" s="138">
        <f t="shared" ca="1" si="6"/>
        <v>45077</v>
      </c>
      <c r="B96" s="89">
        <f t="shared" ca="1" si="7"/>
        <v>8143.4606586579484</v>
      </c>
      <c r="C96" s="89">
        <f ca="1">IF(ISNA(MATCH($A96,LoanMonths,0))=TRUE,0,OFFSET(Forecast!$B$73,0,MATCH($A96,LoanMonths,0),1,1))</f>
        <v>0</v>
      </c>
      <c r="D96" s="140">
        <f t="shared" ca="1" si="8"/>
        <v>2256.8595397023332</v>
      </c>
      <c r="E96" s="140">
        <f t="shared" ca="1" si="9"/>
        <v>71.255280763257048</v>
      </c>
      <c r="F96" s="89">
        <f t="shared" ca="1" si="5"/>
        <v>2185.6042589390763</v>
      </c>
      <c r="G96" s="139">
        <f ca="1">IF(ROUND(SUM(B96:C96,-F96),0)=0,0,IF($B$6="Yes",SUM($C$9:C96),SUM(B96:C96,-F96)))</f>
        <v>5957.8563997188721</v>
      </c>
    </row>
    <row r="97" spans="1:7" ht="15" customHeight="1" x14ac:dyDescent="0.3">
      <c r="A97" s="138">
        <f t="shared" ca="1" si="6"/>
        <v>45107</v>
      </c>
      <c r="B97" s="89">
        <f t="shared" ca="1" si="7"/>
        <v>5957.8563997188721</v>
      </c>
      <c r="C97" s="89">
        <f ca="1">IF(ISNA(MATCH($A97,LoanMonths,0))=TRUE,0,OFFSET(Forecast!$B$73,0,MATCH($A97,LoanMonths,0),1,1))</f>
        <v>0</v>
      </c>
      <c r="D97" s="140">
        <f t="shared" ca="1" si="8"/>
        <v>2256.8595397023332</v>
      </c>
      <c r="E97" s="140">
        <f t="shared" ca="1" si="9"/>
        <v>52.131243497540133</v>
      </c>
      <c r="F97" s="89">
        <f t="shared" ca="1" si="5"/>
        <v>2204.728296204793</v>
      </c>
      <c r="G97" s="139">
        <f ca="1">IF(ROUND(SUM(B97:C97,-F97),0)=0,0,IF($B$6="Yes",SUM($C$9:C97),SUM(B97:C97,-F97)))</f>
        <v>3753.1281035140792</v>
      </c>
    </row>
    <row r="98" spans="1:7" ht="15" customHeight="1" x14ac:dyDescent="0.3">
      <c r="A98" s="138">
        <f t="shared" ca="1" si="6"/>
        <v>45138</v>
      </c>
      <c r="B98" s="89">
        <f t="shared" ca="1" si="7"/>
        <v>3753.1281035140792</v>
      </c>
      <c r="C98" s="89">
        <f ca="1">IF(ISNA(MATCH($A98,LoanMonths,0))=TRUE,0,OFFSET(Forecast!$B$73,0,MATCH($A98,LoanMonths,0),1,1))</f>
        <v>0</v>
      </c>
      <c r="D98" s="140">
        <f t="shared" ca="1" si="8"/>
        <v>644.81701134352375</v>
      </c>
      <c r="E98" s="140">
        <f t="shared" ca="1" si="9"/>
        <v>32.839870905748192</v>
      </c>
      <c r="F98" s="89">
        <f t="shared" ca="1" si="5"/>
        <v>611.97714043777557</v>
      </c>
      <c r="G98" s="139">
        <f ca="1">IF(ROUND(SUM(B98:C98,-F98),0)=0,0,IF($B$6="Yes",SUM($C$9:C98),SUM(B98:C98,-F98)))</f>
        <v>3141.1509630763035</v>
      </c>
    </row>
    <row r="99" spans="1:7" ht="15" customHeight="1" x14ac:dyDescent="0.3">
      <c r="A99" s="138">
        <f t="shared" ca="1" si="6"/>
        <v>45169</v>
      </c>
      <c r="B99" s="89">
        <f t="shared" ca="1" si="7"/>
        <v>3141.1509630763035</v>
      </c>
      <c r="C99" s="89">
        <f ca="1">IF(ISNA(MATCH($A99,LoanMonths,0))=TRUE,0,OFFSET(Forecast!$B$73,0,MATCH($A99,LoanMonths,0),1,1))</f>
        <v>0</v>
      </c>
      <c r="D99" s="140">
        <f t="shared" ca="1" si="8"/>
        <v>644.81701134352375</v>
      </c>
      <c r="E99" s="140">
        <f t="shared" ca="1" si="9"/>
        <v>27.485070926917654</v>
      </c>
      <c r="F99" s="89">
        <f t="shared" ca="1" si="5"/>
        <v>617.33194041660613</v>
      </c>
      <c r="G99" s="139">
        <f ca="1">IF(ROUND(SUM(B99:C99,-F99),0)=0,0,IF($B$6="Yes",SUM($C$9:C99),SUM(B99:C99,-F99)))</f>
        <v>2523.8190226596971</v>
      </c>
    </row>
    <row r="100" spans="1:7" ht="15" customHeight="1" x14ac:dyDescent="0.3">
      <c r="A100" s="138">
        <f t="shared" ca="1" si="6"/>
        <v>45199</v>
      </c>
      <c r="B100" s="89">
        <f t="shared" ca="1" si="7"/>
        <v>2523.8190226596971</v>
      </c>
      <c r="C100" s="89">
        <f ca="1">IF(ISNA(MATCH($A100,LoanMonths,0))=TRUE,0,OFFSET(Forecast!$B$73,0,MATCH($A100,LoanMonths,0),1,1))</f>
        <v>0</v>
      </c>
      <c r="D100" s="140">
        <f t="shared" ca="1" si="8"/>
        <v>644.81701134352375</v>
      </c>
      <c r="E100" s="140">
        <f t="shared" ca="1" si="9"/>
        <v>22.083416448272349</v>
      </c>
      <c r="F100" s="89">
        <f t="shared" ca="1" si="5"/>
        <v>622.73359489525137</v>
      </c>
      <c r="G100" s="139">
        <f ca="1">IF(ROUND(SUM(B100:C100,-F100),0)=0,0,IF($B$6="Yes",SUM($C$9:C100),SUM(B100:C100,-F100)))</f>
        <v>1901.0854277644457</v>
      </c>
    </row>
    <row r="101" spans="1:7" ht="15" customHeight="1" x14ac:dyDescent="0.3">
      <c r="A101" s="138">
        <f t="shared" ca="1" si="6"/>
        <v>45230</v>
      </c>
      <c r="B101" s="89">
        <f t="shared" ca="1" si="7"/>
        <v>1901.0854277644457</v>
      </c>
      <c r="C101" s="89">
        <f ca="1">IF(ISNA(MATCH($A101,LoanMonths,0))=TRUE,0,OFFSET(Forecast!$B$73,0,MATCH($A101,LoanMonths,0),1,1))</f>
        <v>0</v>
      </c>
      <c r="D101" s="140">
        <f t="shared" ca="1" si="8"/>
        <v>644.81701134352375</v>
      </c>
      <c r="E101" s="140">
        <f t="shared" ca="1" si="9"/>
        <v>16.634497492938902</v>
      </c>
      <c r="F101" s="89">
        <f t="shared" ca="1" si="5"/>
        <v>628.18251385058488</v>
      </c>
      <c r="G101" s="139">
        <f ca="1">IF(ROUND(SUM(B101:C101,-F101),0)=0,0,IF($B$6="Yes",SUM($C$9:C101),SUM(B101:C101,-F101)))</f>
        <v>1272.9029139138609</v>
      </c>
    </row>
    <row r="102" spans="1:7" ht="15" customHeight="1" x14ac:dyDescent="0.3">
      <c r="A102" s="138">
        <f t="shared" ca="1" si="6"/>
        <v>45260</v>
      </c>
      <c r="B102" s="89">
        <f t="shared" ca="1" si="7"/>
        <v>1272.9029139138609</v>
      </c>
      <c r="C102" s="89">
        <f ca="1">IF(ISNA(MATCH($A102,LoanMonths,0))=TRUE,0,OFFSET(Forecast!$B$73,0,MATCH($A102,LoanMonths,0),1,1))</f>
        <v>0</v>
      </c>
      <c r="D102" s="140">
        <f t="shared" ca="1" si="8"/>
        <v>644.81701134352375</v>
      </c>
      <c r="E102" s="140">
        <f t="shared" ca="1" si="9"/>
        <v>11.137900496746282</v>
      </c>
      <c r="F102" s="89">
        <f t="shared" ca="1" si="5"/>
        <v>633.67911084677746</v>
      </c>
      <c r="G102" s="139">
        <f ca="1">IF(ROUND(SUM(B102:C102,-F102),0)=0,0,IF($B$6="Yes",SUM($C$9:C102),SUM(B102:C102,-F102)))</f>
        <v>639.2238030670834</v>
      </c>
    </row>
    <row r="103" spans="1:7" ht="15" customHeight="1" x14ac:dyDescent="0.3">
      <c r="A103" s="138">
        <f t="shared" ca="1" si="6"/>
        <v>45291</v>
      </c>
      <c r="B103" s="89">
        <f t="shared" ca="1" si="7"/>
        <v>639.2238030670834</v>
      </c>
      <c r="C103" s="89">
        <f ca="1">IF(ISNA(MATCH($A103,LoanMonths,0))=TRUE,0,OFFSET(Forecast!$B$73,0,MATCH($A103,LoanMonths,0),1,1))</f>
        <v>0</v>
      </c>
      <c r="D103" s="140">
        <f t="shared" ca="1" si="8"/>
        <v>644.81701134352375</v>
      </c>
      <c r="E103" s="140">
        <f t="shared" ca="1" si="9"/>
        <v>5.5932082768369797</v>
      </c>
      <c r="F103" s="89">
        <f t="shared" ca="1" si="5"/>
        <v>639.22380306668674</v>
      </c>
      <c r="G103" s="139">
        <f ca="1">IF(ROUND(SUM(B103:C103,-F103),0)=0,0,IF($B$6="Yes",SUM($C$9:C103),SUM(B103:C103,-F103)))</f>
        <v>0</v>
      </c>
    </row>
    <row r="104" spans="1:7" ht="15" customHeight="1" x14ac:dyDescent="0.3">
      <c r="A104" s="138">
        <f t="shared" ca="1" si="6"/>
        <v>45322</v>
      </c>
      <c r="B104" s="89">
        <f t="shared" ca="1" si="7"/>
        <v>0</v>
      </c>
      <c r="C104" s="89">
        <f ca="1">IF(ISNA(MATCH($A104,LoanMonths,0))=TRUE,0,OFFSET(Forecast!$B$73,0,MATCH($A104,LoanMonths,0),1,1))</f>
        <v>0</v>
      </c>
      <c r="D104" s="140">
        <f t="shared" ca="1" si="8"/>
        <v>0</v>
      </c>
      <c r="E104" s="140">
        <f t="shared" ca="1" si="9"/>
        <v>0</v>
      </c>
      <c r="F104" s="89">
        <f t="shared" ca="1" si="5"/>
        <v>0</v>
      </c>
      <c r="G104" s="139">
        <f ca="1">IF(ROUND(SUM(B104:C104,-F104),0)=0,0,IF($B$6="Yes",SUM($C$9:C104),SUM(B104:C104,-F104)))</f>
        <v>0</v>
      </c>
    </row>
    <row r="105" spans="1:7" ht="15" customHeight="1" x14ac:dyDescent="0.3">
      <c r="A105" s="138">
        <f t="shared" ca="1" si="6"/>
        <v>45351</v>
      </c>
      <c r="B105" s="89">
        <f t="shared" ca="1" si="7"/>
        <v>0</v>
      </c>
      <c r="C105" s="89">
        <f ca="1">IF(ISNA(MATCH($A105,LoanMonths,0))=TRUE,0,OFFSET(Forecast!$B$73,0,MATCH($A105,LoanMonths,0),1,1))</f>
        <v>0</v>
      </c>
      <c r="D105" s="140">
        <f t="shared" ca="1" si="8"/>
        <v>0</v>
      </c>
      <c r="E105" s="140">
        <f t="shared" ca="1" si="9"/>
        <v>0</v>
      </c>
      <c r="F105" s="89">
        <f t="shared" ca="1" si="5"/>
        <v>0</v>
      </c>
      <c r="G105" s="139">
        <f ca="1">IF(ROUND(SUM(B105:C105,-F105),0)=0,0,IF($B$6="Yes",SUM($C$9:C105),SUM(B105:C105,-F105)))</f>
        <v>0</v>
      </c>
    </row>
    <row r="106" spans="1:7" ht="15" customHeight="1" x14ac:dyDescent="0.3">
      <c r="A106" s="138">
        <f t="shared" ca="1" si="6"/>
        <v>45382</v>
      </c>
      <c r="B106" s="89">
        <f t="shared" ca="1" si="7"/>
        <v>0</v>
      </c>
      <c r="C106" s="89">
        <f ca="1">IF(ISNA(MATCH($A106,LoanMonths,0))=TRUE,0,OFFSET(Forecast!$B$73,0,MATCH($A106,LoanMonths,0),1,1))</f>
        <v>0</v>
      </c>
      <c r="D106" s="140">
        <f t="shared" ca="1" si="8"/>
        <v>0</v>
      </c>
      <c r="E106" s="140">
        <f t="shared" ca="1" si="9"/>
        <v>0</v>
      </c>
      <c r="F106" s="89">
        <f t="shared" ca="1" si="5"/>
        <v>0</v>
      </c>
      <c r="G106" s="139">
        <f ca="1">IF(ROUND(SUM(B106:C106,-F106),0)=0,0,IF($B$6="Yes",SUM($C$9:C106),SUM(B106:C106,-F106)))</f>
        <v>0</v>
      </c>
    </row>
    <row r="107" spans="1:7" ht="15" customHeight="1" x14ac:dyDescent="0.3">
      <c r="A107" s="138">
        <f t="shared" ca="1" si="6"/>
        <v>45412</v>
      </c>
      <c r="B107" s="89">
        <f t="shared" ca="1" si="7"/>
        <v>0</v>
      </c>
      <c r="C107" s="89">
        <f ca="1">IF(ISNA(MATCH($A107,LoanMonths,0))=TRUE,0,OFFSET(Forecast!$B$73,0,MATCH($A107,LoanMonths,0),1,1))</f>
        <v>0</v>
      </c>
      <c r="D107" s="140">
        <f t="shared" ca="1" si="8"/>
        <v>0</v>
      </c>
      <c r="E107" s="140">
        <f t="shared" ca="1" si="9"/>
        <v>0</v>
      </c>
      <c r="F107" s="89">
        <f t="shared" ca="1" si="5"/>
        <v>0</v>
      </c>
      <c r="G107" s="139">
        <f ca="1">IF(ROUND(SUM(B107:C107,-F107),0)=0,0,IF($B$6="Yes",SUM($C$9:C107),SUM(B107:C107,-F107)))</f>
        <v>0</v>
      </c>
    </row>
    <row r="108" spans="1:7" ht="15" customHeight="1" x14ac:dyDescent="0.3">
      <c r="A108" s="138">
        <f t="shared" ca="1" si="6"/>
        <v>45443</v>
      </c>
      <c r="B108" s="89">
        <f t="shared" ca="1" si="7"/>
        <v>0</v>
      </c>
      <c r="C108" s="89">
        <f ca="1">IF(ISNA(MATCH($A108,LoanMonths,0))=TRUE,0,OFFSET(Forecast!$B$73,0,MATCH($A108,LoanMonths,0),1,1))</f>
        <v>0</v>
      </c>
      <c r="D108" s="140">
        <f t="shared" ca="1" si="8"/>
        <v>0</v>
      </c>
      <c r="E108" s="140">
        <f t="shared" ca="1" si="9"/>
        <v>0</v>
      </c>
      <c r="F108" s="89">
        <f t="shared" ca="1" si="5"/>
        <v>0</v>
      </c>
      <c r="G108" s="139">
        <f ca="1">IF(ROUND(SUM(B108:C108,-F108),0)=0,0,IF($B$6="Yes",SUM($C$9:C108),SUM(B108:C108,-F108)))</f>
        <v>0</v>
      </c>
    </row>
    <row r="109" spans="1:7" ht="15" customHeight="1" x14ac:dyDescent="0.3">
      <c r="A109" s="138">
        <f t="shared" ca="1" si="6"/>
        <v>45473</v>
      </c>
      <c r="B109" s="89">
        <f t="shared" ca="1" si="7"/>
        <v>0</v>
      </c>
      <c r="C109" s="89">
        <f ca="1">IF(ISNA(MATCH($A109,LoanMonths,0))=TRUE,0,OFFSET(Forecast!$B$73,0,MATCH($A109,LoanMonths,0),1,1))</f>
        <v>0</v>
      </c>
      <c r="D109" s="140">
        <f t="shared" ca="1" si="8"/>
        <v>0</v>
      </c>
      <c r="E109" s="140">
        <f t="shared" ca="1" si="9"/>
        <v>0</v>
      </c>
      <c r="F109" s="89">
        <f t="shared" ca="1" si="5"/>
        <v>0</v>
      </c>
      <c r="G109" s="139">
        <f ca="1">IF(ROUND(SUM(B109:C109,-F109),0)=0,0,IF($B$6="Yes",SUM($C$9:C109),SUM(B109:C109,-F109)))</f>
        <v>0</v>
      </c>
    </row>
    <row r="110" spans="1:7" ht="15" customHeight="1" x14ac:dyDescent="0.3">
      <c r="A110" s="138">
        <f t="shared" ca="1" si="6"/>
        <v>45504</v>
      </c>
      <c r="B110" s="89">
        <f t="shared" ca="1" si="7"/>
        <v>0</v>
      </c>
      <c r="C110" s="89">
        <f ca="1">IF(ISNA(MATCH($A110,LoanMonths,0))=TRUE,0,OFFSET(Forecast!$B$73,0,MATCH($A110,LoanMonths,0),1,1))</f>
        <v>0</v>
      </c>
      <c r="D110" s="140">
        <f t="shared" ca="1" si="8"/>
        <v>0</v>
      </c>
      <c r="E110" s="140">
        <f t="shared" ca="1" si="9"/>
        <v>0</v>
      </c>
      <c r="F110" s="89">
        <f t="shared" ca="1" si="5"/>
        <v>0</v>
      </c>
      <c r="G110" s="139">
        <f ca="1">IF(ROUND(SUM(B110:C110,-F110),0)=0,0,IF($B$6="Yes",SUM($C$9:C110),SUM(B110:C110,-F110)))</f>
        <v>0</v>
      </c>
    </row>
    <row r="111" spans="1:7" ht="15" customHeight="1" x14ac:dyDescent="0.3">
      <c r="A111" s="138">
        <f t="shared" ca="1" si="6"/>
        <v>45535</v>
      </c>
      <c r="B111" s="89">
        <f t="shared" ca="1" si="7"/>
        <v>0</v>
      </c>
      <c r="C111" s="89">
        <f ca="1">IF(ISNA(MATCH($A111,LoanMonths,0))=TRUE,0,OFFSET(Forecast!$B$73,0,MATCH($A111,LoanMonths,0),1,1))</f>
        <v>0</v>
      </c>
      <c r="D111" s="140">
        <f t="shared" ca="1" si="8"/>
        <v>0</v>
      </c>
      <c r="E111" s="140">
        <f t="shared" ca="1" si="9"/>
        <v>0</v>
      </c>
      <c r="F111" s="89">
        <f t="shared" ca="1" si="5"/>
        <v>0</v>
      </c>
      <c r="G111" s="139">
        <f ca="1">IF(ROUND(SUM(B111:C111,-F111),0)=0,0,IF($B$6="Yes",SUM($C$9:C111),SUM(B111:C111,-F111)))</f>
        <v>0</v>
      </c>
    </row>
    <row r="112" spans="1:7" ht="15" customHeight="1" x14ac:dyDescent="0.3">
      <c r="A112" s="138">
        <f t="shared" ca="1" si="6"/>
        <v>45565</v>
      </c>
      <c r="B112" s="89">
        <f t="shared" ca="1" si="7"/>
        <v>0</v>
      </c>
      <c r="C112" s="89">
        <f ca="1">IF(ISNA(MATCH($A112,LoanMonths,0))=TRUE,0,OFFSET(Forecast!$B$73,0,MATCH($A112,LoanMonths,0),1,1))</f>
        <v>0</v>
      </c>
      <c r="D112" s="140">
        <f t="shared" ca="1" si="8"/>
        <v>0</v>
      </c>
      <c r="E112" s="140">
        <f t="shared" ca="1" si="9"/>
        <v>0</v>
      </c>
      <c r="F112" s="89">
        <f t="shared" ca="1" si="5"/>
        <v>0</v>
      </c>
      <c r="G112" s="139">
        <f ca="1">IF(ROUND(SUM(B112:C112,-F112),0)=0,0,IF($B$6="Yes",SUM($C$9:C112),SUM(B112:C112,-F112)))</f>
        <v>0</v>
      </c>
    </row>
    <row r="113" spans="1:7" ht="15" customHeight="1" x14ac:dyDescent="0.3">
      <c r="A113" s="138">
        <f t="shared" ca="1" si="6"/>
        <v>45596</v>
      </c>
      <c r="B113" s="89">
        <f t="shared" ca="1" si="7"/>
        <v>0</v>
      </c>
      <c r="C113" s="89">
        <f ca="1">IF(ISNA(MATCH($A113,LoanMonths,0))=TRUE,0,OFFSET(Forecast!$B$73,0,MATCH($A113,LoanMonths,0),1,1))</f>
        <v>0</v>
      </c>
      <c r="D113" s="140">
        <f t="shared" ca="1" si="8"/>
        <v>0</v>
      </c>
      <c r="E113" s="140">
        <f t="shared" ca="1" si="9"/>
        <v>0</v>
      </c>
      <c r="F113" s="89">
        <f t="shared" ca="1" si="5"/>
        <v>0</v>
      </c>
      <c r="G113" s="139">
        <f ca="1">IF(ROUND(SUM(B113:C113,-F113),0)=0,0,IF($B$6="Yes",SUM($C$9:C113),SUM(B113:C113,-F113)))</f>
        <v>0</v>
      </c>
    </row>
    <row r="114" spans="1:7" ht="15" customHeight="1" x14ac:dyDescent="0.3">
      <c r="A114" s="138">
        <f t="shared" ca="1" si="6"/>
        <v>45626</v>
      </c>
      <c r="B114" s="89">
        <f t="shared" ca="1" si="7"/>
        <v>0</v>
      </c>
      <c r="C114" s="89">
        <f ca="1">IF(ISNA(MATCH($A114,LoanMonths,0))=TRUE,0,OFFSET(Forecast!$B$73,0,MATCH($A114,LoanMonths,0),1,1))</f>
        <v>0</v>
      </c>
      <c r="D114" s="140">
        <f t="shared" ca="1" si="8"/>
        <v>0</v>
      </c>
      <c r="E114" s="140">
        <f t="shared" ca="1" si="9"/>
        <v>0</v>
      </c>
      <c r="F114" s="89">
        <f t="shared" ca="1" si="5"/>
        <v>0</v>
      </c>
      <c r="G114" s="139">
        <f ca="1">IF(ROUND(SUM(B114:C114,-F114),0)=0,0,IF($B$6="Yes",SUM($C$9:C114),SUM(B114:C114,-F114)))</f>
        <v>0</v>
      </c>
    </row>
    <row r="115" spans="1:7" ht="15" customHeight="1" x14ac:dyDescent="0.3">
      <c r="A115" s="138">
        <f t="shared" ca="1" si="6"/>
        <v>45657</v>
      </c>
      <c r="B115" s="89">
        <f t="shared" ca="1" si="7"/>
        <v>0</v>
      </c>
      <c r="C115" s="89">
        <f ca="1">IF(ISNA(MATCH($A115,LoanMonths,0))=TRUE,0,OFFSET(Forecast!$B$73,0,MATCH($A115,LoanMonths,0),1,1))</f>
        <v>0</v>
      </c>
      <c r="D115" s="140">
        <f t="shared" ca="1" si="8"/>
        <v>0</v>
      </c>
      <c r="E115" s="140">
        <f t="shared" ca="1" si="9"/>
        <v>0</v>
      </c>
      <c r="F115" s="89">
        <f t="shared" ca="1" si="5"/>
        <v>0</v>
      </c>
      <c r="G115" s="139">
        <f ca="1">IF(ROUND(SUM(B115:C115,-F115),0)=0,0,IF($B$6="Yes",SUM($C$9:C115),SUM(B115:C115,-F115)))</f>
        <v>0</v>
      </c>
    </row>
    <row r="116" spans="1:7" ht="15" customHeight="1" x14ac:dyDescent="0.3">
      <c r="A116" s="138">
        <f t="shared" ca="1" si="6"/>
        <v>45688</v>
      </c>
      <c r="B116" s="89">
        <f t="shared" ca="1" si="7"/>
        <v>0</v>
      </c>
      <c r="C116" s="89">
        <f ca="1">IF(ISNA(MATCH($A116,LoanMonths,0))=TRUE,0,OFFSET(Forecast!$B$73,0,MATCH($A116,LoanMonths,0),1,1))</f>
        <v>0</v>
      </c>
      <c r="D116" s="140">
        <f t="shared" ca="1" si="8"/>
        <v>0</v>
      </c>
      <c r="E116" s="140">
        <f t="shared" ca="1" si="9"/>
        <v>0</v>
      </c>
      <c r="F116" s="89">
        <f t="shared" ca="1" si="5"/>
        <v>0</v>
      </c>
      <c r="G116" s="139">
        <f ca="1">IF(ROUND(SUM(B116:C116,-F116),0)=0,0,IF($B$6="Yes",SUM($C$9:C116),SUM(B116:C116,-F116)))</f>
        <v>0</v>
      </c>
    </row>
    <row r="117" spans="1:7" ht="15" customHeight="1" x14ac:dyDescent="0.3">
      <c r="A117" s="138">
        <f t="shared" ca="1" si="6"/>
        <v>45716</v>
      </c>
      <c r="B117" s="89">
        <f t="shared" ca="1" si="7"/>
        <v>0</v>
      </c>
      <c r="C117" s="89">
        <f ca="1">IF(ISNA(MATCH($A117,LoanMonths,0))=TRUE,0,OFFSET(Forecast!$B$73,0,MATCH($A117,LoanMonths,0),1,1))</f>
        <v>0</v>
      </c>
      <c r="D117" s="140">
        <f t="shared" ca="1" si="8"/>
        <v>0</v>
      </c>
      <c r="E117" s="140">
        <f t="shared" ca="1" si="9"/>
        <v>0</v>
      </c>
      <c r="F117" s="89">
        <f t="shared" ca="1" si="5"/>
        <v>0</v>
      </c>
      <c r="G117" s="139">
        <f ca="1">IF(ROUND(SUM(B117:C117,-F117),0)=0,0,IF($B$6="Yes",SUM($C$9:C117),SUM(B117:C117,-F117)))</f>
        <v>0</v>
      </c>
    </row>
    <row r="118" spans="1:7" ht="15" customHeight="1" x14ac:dyDescent="0.3">
      <c r="A118" s="138">
        <f t="shared" ca="1" si="6"/>
        <v>45747</v>
      </c>
      <c r="B118" s="89">
        <f t="shared" ca="1" si="7"/>
        <v>0</v>
      </c>
      <c r="C118" s="89">
        <f ca="1">IF(ISNA(MATCH($A118,LoanMonths,0))=TRUE,0,OFFSET(Forecast!$B$73,0,MATCH($A118,LoanMonths,0),1,1))</f>
        <v>0</v>
      </c>
      <c r="D118" s="140">
        <f t="shared" ca="1" si="8"/>
        <v>0</v>
      </c>
      <c r="E118" s="140">
        <f t="shared" ca="1" si="9"/>
        <v>0</v>
      </c>
      <c r="F118" s="89">
        <f t="shared" ca="1" si="5"/>
        <v>0</v>
      </c>
      <c r="G118" s="139">
        <f ca="1">IF(ROUND(SUM(B118:C118,-F118),0)=0,0,IF($B$6="Yes",SUM($C$9:C118),SUM(B118:C118,-F118)))</f>
        <v>0</v>
      </c>
    </row>
    <row r="119" spans="1:7" ht="15" customHeight="1" x14ac:dyDescent="0.3">
      <c r="A119" s="138">
        <f t="shared" ca="1" si="6"/>
        <v>45777</v>
      </c>
      <c r="B119" s="89">
        <f t="shared" ca="1" si="7"/>
        <v>0</v>
      </c>
      <c r="C119" s="89">
        <f ca="1">IF(ISNA(MATCH($A119,LoanMonths,0))=TRUE,0,OFFSET(Forecast!$B$73,0,MATCH($A119,LoanMonths,0),1,1))</f>
        <v>0</v>
      </c>
      <c r="D119" s="140">
        <f t="shared" ca="1" si="8"/>
        <v>0</v>
      </c>
      <c r="E119" s="140">
        <f t="shared" ca="1" si="9"/>
        <v>0</v>
      </c>
      <c r="F119" s="89">
        <f t="shared" ca="1" si="5"/>
        <v>0</v>
      </c>
      <c r="G119" s="139">
        <f ca="1">IF(ROUND(SUM(B119:C119,-F119),0)=0,0,IF($B$6="Yes",SUM($C$9:C119),SUM(B119:C119,-F119)))</f>
        <v>0</v>
      </c>
    </row>
    <row r="120" spans="1:7" ht="15" customHeight="1" x14ac:dyDescent="0.3">
      <c r="A120" s="138">
        <f t="shared" ca="1" si="6"/>
        <v>45808</v>
      </c>
      <c r="B120" s="89">
        <f t="shared" ca="1" si="7"/>
        <v>0</v>
      </c>
      <c r="C120" s="89">
        <f ca="1">IF(ISNA(MATCH($A120,LoanMonths,0))=TRUE,0,OFFSET(Forecast!$B$73,0,MATCH($A120,LoanMonths,0),1,1))</f>
        <v>0</v>
      </c>
      <c r="D120" s="140">
        <f t="shared" ca="1" si="8"/>
        <v>0</v>
      </c>
      <c r="E120" s="140">
        <f t="shared" ca="1" si="9"/>
        <v>0</v>
      </c>
      <c r="F120" s="89">
        <f t="shared" ca="1" si="5"/>
        <v>0</v>
      </c>
      <c r="G120" s="139">
        <f ca="1">IF(ROUND(SUM(B120:C120,-F120),0)=0,0,IF($B$6="Yes",SUM($C$9:C120),SUM(B120:C120,-F120)))</f>
        <v>0</v>
      </c>
    </row>
    <row r="121" spans="1:7" ht="15" customHeight="1" x14ac:dyDescent="0.3">
      <c r="A121" s="138">
        <f t="shared" ca="1" si="6"/>
        <v>45838</v>
      </c>
      <c r="B121" s="89">
        <f t="shared" ca="1" si="7"/>
        <v>0</v>
      </c>
      <c r="C121" s="89">
        <f ca="1">IF(ISNA(MATCH($A121,LoanMonths,0))=TRUE,0,OFFSET(Forecast!$B$73,0,MATCH($A121,LoanMonths,0),1,1))</f>
        <v>0</v>
      </c>
      <c r="D121" s="140">
        <f t="shared" ca="1" si="8"/>
        <v>0</v>
      </c>
      <c r="E121" s="140">
        <f t="shared" ca="1" si="9"/>
        <v>0</v>
      </c>
      <c r="F121" s="89">
        <f t="shared" ca="1" si="5"/>
        <v>0</v>
      </c>
      <c r="G121" s="139">
        <f ca="1">IF(ROUND(SUM(B121:C121,-F121),0)=0,0,IF($B$6="Yes",SUM($C$9:C121),SUM(B121:C121,-F121)))</f>
        <v>0</v>
      </c>
    </row>
    <row r="122" spans="1:7" ht="15" customHeight="1" x14ac:dyDescent="0.3">
      <c r="A122" s="138">
        <f t="shared" ca="1" si="6"/>
        <v>45869</v>
      </c>
      <c r="B122" s="89">
        <f t="shared" ca="1" si="7"/>
        <v>0</v>
      </c>
      <c r="C122" s="89">
        <f ca="1">IF(ISNA(MATCH($A122,LoanMonths,0))=TRUE,0,OFFSET(Forecast!$B$73,0,MATCH($A122,LoanMonths,0),1,1))</f>
        <v>0</v>
      </c>
      <c r="D122" s="140">
        <f t="shared" ca="1" si="8"/>
        <v>0</v>
      </c>
      <c r="E122" s="140">
        <f t="shared" ca="1" si="9"/>
        <v>0</v>
      </c>
      <c r="F122" s="89">
        <f t="shared" ca="1" si="5"/>
        <v>0</v>
      </c>
      <c r="G122" s="139">
        <f ca="1">IF(ROUND(SUM(B122:C122,-F122),0)=0,0,IF($B$6="Yes",SUM($C$9:C122),SUM(B122:C122,-F122)))</f>
        <v>0</v>
      </c>
    </row>
    <row r="123" spans="1:7" ht="15" customHeight="1" x14ac:dyDescent="0.3">
      <c r="A123" s="138">
        <f t="shared" ca="1" si="6"/>
        <v>45900</v>
      </c>
      <c r="B123" s="89">
        <f t="shared" ca="1" si="7"/>
        <v>0</v>
      </c>
      <c r="C123" s="89">
        <f ca="1">IF(ISNA(MATCH($A123,LoanMonths,0))=TRUE,0,OFFSET(Forecast!$B$73,0,MATCH($A123,LoanMonths,0),1,1))</f>
        <v>0</v>
      </c>
      <c r="D123" s="140">
        <f t="shared" ca="1" si="8"/>
        <v>0</v>
      </c>
      <c r="E123" s="140">
        <f t="shared" ca="1" si="9"/>
        <v>0</v>
      </c>
      <c r="F123" s="89">
        <f t="shared" ca="1" si="5"/>
        <v>0</v>
      </c>
      <c r="G123" s="139">
        <f ca="1">IF(ROUND(SUM(B123:C123,-F123),0)=0,0,IF($B$6="Yes",SUM($C$9:C123),SUM(B123:C123,-F123)))</f>
        <v>0</v>
      </c>
    </row>
    <row r="124" spans="1:7" ht="15" customHeight="1" x14ac:dyDescent="0.3">
      <c r="A124" s="138">
        <f t="shared" ca="1" si="6"/>
        <v>45930</v>
      </c>
      <c r="B124" s="89">
        <f t="shared" ca="1" si="7"/>
        <v>0</v>
      </c>
      <c r="C124" s="89">
        <f ca="1">IF(ISNA(MATCH($A124,LoanMonths,0))=TRUE,0,OFFSET(Forecast!$B$73,0,MATCH($A124,LoanMonths,0),1,1))</f>
        <v>0</v>
      </c>
      <c r="D124" s="140">
        <f t="shared" ca="1" si="8"/>
        <v>0</v>
      </c>
      <c r="E124" s="140">
        <f t="shared" ca="1" si="9"/>
        <v>0</v>
      </c>
      <c r="F124" s="89">
        <f t="shared" ca="1" si="5"/>
        <v>0</v>
      </c>
      <c r="G124" s="139">
        <f ca="1">IF(ROUND(SUM(B124:C124,-F124),0)=0,0,IF($B$6="Yes",SUM($C$9:C124),SUM(B124:C124,-F124)))</f>
        <v>0</v>
      </c>
    </row>
    <row r="125" spans="1:7" ht="15" customHeight="1" x14ac:dyDescent="0.3">
      <c r="A125" s="138">
        <f t="shared" ca="1" si="6"/>
        <v>45961</v>
      </c>
      <c r="B125" s="89">
        <f t="shared" ca="1" si="7"/>
        <v>0</v>
      </c>
      <c r="C125" s="89">
        <f ca="1">IF(ISNA(MATCH($A125,LoanMonths,0))=TRUE,0,OFFSET(Forecast!$B$73,0,MATCH($A125,LoanMonths,0),1,1))</f>
        <v>0</v>
      </c>
      <c r="D125" s="140">
        <f t="shared" ca="1" si="8"/>
        <v>0</v>
      </c>
      <c r="E125" s="140">
        <f t="shared" ca="1" si="9"/>
        <v>0</v>
      </c>
      <c r="F125" s="89">
        <f t="shared" ca="1" si="5"/>
        <v>0</v>
      </c>
      <c r="G125" s="139">
        <f ca="1">IF(ROUND(SUM(B125:C125,-F125),0)=0,0,IF($B$6="Yes",SUM($C$9:C125),SUM(B125:C125,-F125)))</f>
        <v>0</v>
      </c>
    </row>
    <row r="126" spans="1:7" ht="15" customHeight="1" x14ac:dyDescent="0.3">
      <c r="A126" s="138">
        <f ca="1">DATE(YEAR(A125),MONTH(A125)+2,0)</f>
        <v>45991</v>
      </c>
      <c r="B126" s="89">
        <f t="shared" ca="1" si="7"/>
        <v>0</v>
      </c>
      <c r="C126" s="89">
        <f ca="1">IF(ISNA(MATCH($A126,LoanMonths,0))=TRUE,0,OFFSET(Forecast!$B$73,0,MATCH($A126,LoanMonths,0),1,1))</f>
        <v>0</v>
      </c>
      <c r="D126" s="140">
        <f t="shared" ca="1" si="8"/>
        <v>0</v>
      </c>
      <c r="E126" s="140">
        <f t="shared" ca="1" si="9"/>
        <v>0</v>
      </c>
      <c r="F126" s="89">
        <f t="shared" ca="1" si="5"/>
        <v>0</v>
      </c>
      <c r="G126" s="139">
        <f ca="1">IF(ROUND(SUM(B126:C126,-F126),0)=0,0,IF($B$6="Yes",SUM($C$9:C126),SUM(B126:C126,-F126)))</f>
        <v>0</v>
      </c>
    </row>
    <row r="127" spans="1:7" ht="15" customHeight="1" x14ac:dyDescent="0.3">
      <c r="A127" s="138">
        <f ca="1">DATE(YEAR(A126),MONTH(A126)+2,0)</f>
        <v>46022</v>
      </c>
      <c r="B127" s="89">
        <f t="shared" ca="1" si="7"/>
        <v>0</v>
      </c>
      <c r="C127" s="89">
        <f ca="1">IF(ISNA(MATCH($A127,LoanMonths,0))=TRUE,0,OFFSET(Forecast!$B$73,0,MATCH($A127,LoanMonths,0),1,1))</f>
        <v>0</v>
      </c>
      <c r="D127" s="140">
        <f t="shared" ca="1" si="8"/>
        <v>0</v>
      </c>
      <c r="E127" s="140">
        <f t="shared" ca="1" si="9"/>
        <v>0</v>
      </c>
      <c r="F127" s="89">
        <f t="shared" ca="1" si="5"/>
        <v>0</v>
      </c>
      <c r="G127" s="139">
        <f ca="1">IF(ROUND(SUM(B127:C127,-F127),0)=0,0,IF($B$6="Yes",SUM($C$9:C127),SUM(B127:C127,-F127)))</f>
        <v>0</v>
      </c>
    </row>
    <row r="128" spans="1:7" ht="15" customHeight="1" x14ac:dyDescent="0.3">
      <c r="A128" s="138">
        <f ca="1">DATE(YEAR(A127),MONTH(A127)+2,0)</f>
        <v>46053</v>
      </c>
      <c r="B128" s="89">
        <f t="shared" ca="1" si="7"/>
        <v>0</v>
      </c>
      <c r="C128" s="89">
        <f ca="1">IF(ISNA(MATCH($A128,LoanMonths,0))=TRUE,0,OFFSET(Forecast!$B$73,0,MATCH($A128,LoanMonths,0),1,1))</f>
        <v>0</v>
      </c>
      <c r="D128" s="140">
        <f t="shared" ca="1" si="8"/>
        <v>0</v>
      </c>
      <c r="E128" s="140">
        <f t="shared" ca="1" si="9"/>
        <v>0</v>
      </c>
      <c r="F128" s="89">
        <f t="shared" ca="1" si="5"/>
        <v>0</v>
      </c>
      <c r="G128" s="139">
        <f ca="1">IF(ROUND(SUM(B128:C128,-F128),0)=0,0,IF($B$6="Yes",SUM($C$9:C128),SUM(B128:C128,-F128)))</f>
        <v>0</v>
      </c>
    </row>
    <row r="129" spans="1:7" ht="15" customHeight="1" x14ac:dyDescent="0.3">
      <c r="A129" s="138">
        <f t="shared" ref="A129:A165" ca="1" si="10">DATE(YEAR(A128),MONTH(A128)+2,0)</f>
        <v>46081</v>
      </c>
      <c r="B129" s="89">
        <f t="shared" ca="1" si="7"/>
        <v>0</v>
      </c>
      <c r="C129" s="89">
        <f ca="1">IF(ISNA(MATCH($A129,LoanMonths,0))=TRUE,0,OFFSET(Forecast!$B$73,0,MATCH($A129,LoanMonths,0),1,1))</f>
        <v>0</v>
      </c>
      <c r="D129" s="140">
        <f t="shared" ca="1" si="8"/>
        <v>0</v>
      </c>
      <c r="E129" s="140">
        <f t="shared" ref="E129:E165" ca="1" si="11">(G128+C129)*$B$4/12</f>
        <v>0</v>
      </c>
      <c r="F129" s="89">
        <f t="shared" ref="F129:F165" ca="1" si="12">IF($B$6="Yes",0,D129-E129)</f>
        <v>0</v>
      </c>
      <c r="G129" s="139">
        <f ca="1">IF(ROUND(SUM(B129:C129,-F129),0)=0,0,IF($B$6="Yes",SUM($C$9:C129),SUM(B129:C129,-F129)))</f>
        <v>0</v>
      </c>
    </row>
    <row r="130" spans="1:7" ht="15" customHeight="1" x14ac:dyDescent="0.3">
      <c r="A130" s="138">
        <f t="shared" ca="1" si="10"/>
        <v>46112</v>
      </c>
      <c r="B130" s="89">
        <f t="shared" ca="1" si="7"/>
        <v>0</v>
      </c>
      <c r="C130" s="89">
        <f ca="1">IF(ISNA(MATCH($A130,LoanMonths,0))=TRUE,0,OFFSET(Forecast!$B$73,0,MATCH($A130,LoanMonths,0),1,1))</f>
        <v>0</v>
      </c>
      <c r="D130" s="140">
        <f t="shared" ca="1" si="8"/>
        <v>0</v>
      </c>
      <c r="E130" s="140">
        <f t="shared" ca="1" si="11"/>
        <v>0</v>
      </c>
      <c r="F130" s="89">
        <f t="shared" ca="1" si="12"/>
        <v>0</v>
      </c>
      <c r="G130" s="139">
        <f ca="1">IF(ROUND(SUM(B130:C130,-F130),0)=0,0,IF($B$6="Yes",SUM($C$9:C130),SUM(B130:C130,-F130)))</f>
        <v>0</v>
      </c>
    </row>
    <row r="131" spans="1:7" ht="15" customHeight="1" x14ac:dyDescent="0.3">
      <c r="A131" s="138">
        <f t="shared" ca="1" si="10"/>
        <v>46142</v>
      </c>
      <c r="B131" s="89">
        <f t="shared" ca="1" si="7"/>
        <v>0</v>
      </c>
      <c r="C131" s="89">
        <f ca="1">IF(ISNA(MATCH($A131,LoanMonths,0))=TRUE,0,OFFSET(Forecast!$B$73,0,MATCH($A131,LoanMonths,0),1,1))</f>
        <v>0</v>
      </c>
      <c r="D131" s="140">
        <f t="shared" ca="1" si="8"/>
        <v>0</v>
      </c>
      <c r="E131" s="140">
        <f t="shared" ca="1" si="11"/>
        <v>0</v>
      </c>
      <c r="F131" s="89">
        <f t="shared" ca="1" si="12"/>
        <v>0</v>
      </c>
      <c r="G131" s="139">
        <f ca="1">IF(ROUND(SUM(B131:C131,-F131),0)=0,0,IF($B$6="Yes",SUM($C$9:C131),SUM(B131:C131,-F131)))</f>
        <v>0</v>
      </c>
    </row>
    <row r="132" spans="1:7" ht="15" customHeight="1" x14ac:dyDescent="0.3">
      <c r="A132" s="138">
        <f t="shared" ca="1" si="10"/>
        <v>46173</v>
      </c>
      <c r="B132" s="89">
        <f t="shared" ca="1" si="7"/>
        <v>0</v>
      </c>
      <c r="C132" s="89">
        <f ca="1">IF(ISNA(MATCH($A132,LoanMonths,0))=TRUE,0,OFFSET(Forecast!$B$73,0,MATCH($A132,LoanMonths,0),1,1))</f>
        <v>0</v>
      </c>
      <c r="D132" s="140">
        <f t="shared" ca="1" si="8"/>
        <v>0</v>
      </c>
      <c r="E132" s="140">
        <f t="shared" ca="1" si="11"/>
        <v>0</v>
      </c>
      <c r="F132" s="89">
        <f t="shared" ca="1" si="12"/>
        <v>0</v>
      </c>
      <c r="G132" s="139">
        <f ca="1">IF(ROUND(SUM(B132:C132,-F132),0)=0,0,IF($B$6="Yes",SUM($C$9:C132),SUM(B132:C132,-F132)))</f>
        <v>0</v>
      </c>
    </row>
    <row r="133" spans="1:7" ht="15" customHeight="1" x14ac:dyDescent="0.3">
      <c r="A133" s="138">
        <f t="shared" ca="1" si="10"/>
        <v>46203</v>
      </c>
      <c r="B133" s="89">
        <f t="shared" ca="1" si="7"/>
        <v>0</v>
      </c>
      <c r="C133" s="89">
        <f ca="1">IF(ISNA(MATCH($A133,LoanMonths,0))=TRUE,0,OFFSET(Forecast!$B$73,0,MATCH($A133,LoanMonths,0),1,1))</f>
        <v>0</v>
      </c>
      <c r="D133" s="140">
        <f t="shared" ca="1" si="8"/>
        <v>0</v>
      </c>
      <c r="E133" s="140">
        <f t="shared" ca="1" si="11"/>
        <v>0</v>
      </c>
      <c r="F133" s="89">
        <f t="shared" ca="1" si="12"/>
        <v>0</v>
      </c>
      <c r="G133" s="139">
        <f ca="1">IF(ROUND(SUM(B133:C133,-F133),0)=0,0,IF($B$6="Yes",SUM($C$9:C133),SUM(B133:C133,-F133)))</f>
        <v>0</v>
      </c>
    </row>
    <row r="134" spans="1:7" ht="15" customHeight="1" x14ac:dyDescent="0.3">
      <c r="A134" s="138">
        <f t="shared" ca="1" si="10"/>
        <v>46234</v>
      </c>
      <c r="B134" s="89">
        <f t="shared" ca="1" si="7"/>
        <v>0</v>
      </c>
      <c r="C134" s="89">
        <f ca="1">IF(ISNA(MATCH($A134,LoanMonths,0))=TRUE,0,OFFSET(Forecast!$B$73,0,MATCH($A134,LoanMonths,0),1,1))</f>
        <v>0</v>
      </c>
      <c r="D134" s="140">
        <f t="shared" ca="1" si="8"/>
        <v>0</v>
      </c>
      <c r="E134" s="140">
        <f t="shared" ca="1" si="11"/>
        <v>0</v>
      </c>
      <c r="F134" s="89">
        <f t="shared" ca="1" si="12"/>
        <v>0</v>
      </c>
      <c r="G134" s="139">
        <f ca="1">IF(ROUND(SUM(B134:C134,-F134),0)=0,0,IF($B$6="Yes",SUM($C$9:C134),SUM(B134:C134,-F134)))</f>
        <v>0</v>
      </c>
    </row>
    <row r="135" spans="1:7" ht="15" customHeight="1" x14ac:dyDescent="0.3">
      <c r="A135" s="138">
        <f t="shared" ca="1" si="10"/>
        <v>46265</v>
      </c>
      <c r="B135" s="89">
        <f t="shared" ca="1" si="7"/>
        <v>0</v>
      </c>
      <c r="C135" s="89">
        <f ca="1">IF(ISNA(MATCH($A135,LoanMonths,0))=TRUE,0,OFFSET(Forecast!$B$73,0,MATCH($A135,LoanMonths,0),1,1))</f>
        <v>0</v>
      </c>
      <c r="D135" s="140">
        <f t="shared" ca="1" si="8"/>
        <v>0</v>
      </c>
      <c r="E135" s="140">
        <f t="shared" ca="1" si="11"/>
        <v>0</v>
      </c>
      <c r="F135" s="89">
        <f t="shared" ca="1" si="12"/>
        <v>0</v>
      </c>
      <c r="G135" s="139">
        <f ca="1">IF(ROUND(SUM(B135:C135,-F135),0)=0,0,IF($B$6="Yes",SUM($C$9:C135),SUM(B135:C135,-F135)))</f>
        <v>0</v>
      </c>
    </row>
    <row r="136" spans="1:7" ht="15" customHeight="1" x14ac:dyDescent="0.3">
      <c r="A136" s="138">
        <f t="shared" ca="1" si="10"/>
        <v>46295</v>
      </c>
      <c r="B136" s="89">
        <f t="shared" ca="1" si="7"/>
        <v>0</v>
      </c>
      <c r="C136" s="89">
        <f ca="1">IF(ISNA(MATCH($A136,LoanMonths,0))=TRUE,0,OFFSET(Forecast!$B$73,0,MATCH($A136,LoanMonths,0),1,1))</f>
        <v>0</v>
      </c>
      <c r="D136" s="140">
        <f t="shared" ca="1" si="8"/>
        <v>0</v>
      </c>
      <c r="E136" s="140">
        <f t="shared" ca="1" si="11"/>
        <v>0</v>
      </c>
      <c r="F136" s="89">
        <f t="shared" ca="1" si="12"/>
        <v>0</v>
      </c>
      <c r="G136" s="139">
        <f ca="1">IF(ROUND(SUM(B136:C136,-F136),0)=0,0,IF($B$6="Yes",SUM($C$9:C136),SUM(B136:C136,-F136)))</f>
        <v>0</v>
      </c>
    </row>
    <row r="137" spans="1:7" ht="15" customHeight="1" x14ac:dyDescent="0.3">
      <c r="A137" s="138">
        <f t="shared" ca="1" si="10"/>
        <v>46326</v>
      </c>
      <c r="B137" s="89">
        <f t="shared" ca="1" si="7"/>
        <v>0</v>
      </c>
      <c r="C137" s="89">
        <f ca="1">IF(ISNA(MATCH($A137,LoanMonths,0))=TRUE,0,OFFSET(Forecast!$B$73,0,MATCH($A137,LoanMonths,0),1,1))</f>
        <v>0</v>
      </c>
      <c r="D137" s="140">
        <f t="shared" ca="1" si="8"/>
        <v>0</v>
      </c>
      <c r="E137" s="140">
        <f t="shared" ca="1" si="11"/>
        <v>0</v>
      </c>
      <c r="F137" s="89">
        <f t="shared" ca="1" si="12"/>
        <v>0</v>
      </c>
      <c r="G137" s="139">
        <f ca="1">IF(ROUND(SUM(B137:C137,-F137),0)=0,0,IF($B$6="Yes",SUM($C$9:C137),SUM(B137:C137,-F137)))</f>
        <v>0</v>
      </c>
    </row>
    <row r="138" spans="1:7" ht="15" customHeight="1" x14ac:dyDescent="0.3">
      <c r="A138" s="138">
        <f t="shared" ca="1" si="10"/>
        <v>46356</v>
      </c>
      <c r="B138" s="89">
        <f t="shared" ca="1" si="7"/>
        <v>0</v>
      </c>
      <c r="C138" s="89">
        <f ca="1">IF(ISNA(MATCH($A138,LoanMonths,0))=TRUE,0,OFFSET(Forecast!$B$73,0,MATCH($A138,LoanMonths,0),1,1))</f>
        <v>0</v>
      </c>
      <c r="D138" s="140">
        <f t="shared" ca="1" si="8"/>
        <v>0</v>
      </c>
      <c r="E138" s="140">
        <f t="shared" ca="1" si="11"/>
        <v>0</v>
      </c>
      <c r="F138" s="89">
        <f t="shared" ca="1" si="12"/>
        <v>0</v>
      </c>
      <c r="G138" s="139">
        <f ca="1">IF(ROUND(SUM(B138:C138,-F138),0)=0,0,IF($B$6="Yes",SUM($C$9:C138),SUM(B138:C138,-F138)))</f>
        <v>0</v>
      </c>
    </row>
    <row r="139" spans="1:7" ht="15" customHeight="1" x14ac:dyDescent="0.3">
      <c r="A139" s="138">
        <f t="shared" ca="1" si="10"/>
        <v>46387</v>
      </c>
      <c r="B139" s="89">
        <f t="shared" ref="B139:B165" ca="1" si="13">G138</f>
        <v>0</v>
      </c>
      <c r="C139" s="89">
        <f ca="1">IF(ISNA(MATCH($A139,LoanMonths,0))=TRUE,0,OFFSET(Forecast!$B$73,0,MATCH($A139,LoanMonths,0),1,1))</f>
        <v>0</v>
      </c>
      <c r="D139" s="140">
        <f t="shared" ref="D139:D165" ca="1" si="14">IF($B$6="Yes",0,IF(ROW(C139)-ROW($C$9)&gt;$B$5*12,-PMT($B$4/12,$B$5*12,SUM(OFFSET(C139,0,0,-$B$5*12,1)),0,0),-PMT($B$4/12,$B$5*12,SUM(OFFSET(C139,0,0,ROW($C$8)-ROW(C139),1)),0,0)))</f>
        <v>0</v>
      </c>
      <c r="E139" s="140">
        <f t="shared" ca="1" si="11"/>
        <v>0</v>
      </c>
      <c r="F139" s="89">
        <f t="shared" ca="1" si="12"/>
        <v>0</v>
      </c>
      <c r="G139" s="139">
        <f ca="1">IF(ROUND(SUM(B139:C139,-F139),0)=0,0,IF($B$6="Yes",SUM($C$9:C139),SUM(B139:C139,-F139)))</f>
        <v>0</v>
      </c>
    </row>
    <row r="140" spans="1:7" ht="15" customHeight="1" x14ac:dyDescent="0.3">
      <c r="A140" s="138">
        <f t="shared" ca="1" si="10"/>
        <v>46418</v>
      </c>
      <c r="B140" s="89">
        <f t="shared" ca="1" si="13"/>
        <v>0</v>
      </c>
      <c r="C140" s="89">
        <f ca="1">IF(ISNA(MATCH($A140,LoanMonths,0))=TRUE,0,OFFSET(Forecast!$B$73,0,MATCH($A140,LoanMonths,0),1,1))</f>
        <v>0</v>
      </c>
      <c r="D140" s="140">
        <f t="shared" ca="1" si="14"/>
        <v>0</v>
      </c>
      <c r="E140" s="140">
        <f t="shared" ca="1" si="11"/>
        <v>0</v>
      </c>
      <c r="F140" s="89">
        <f t="shared" ca="1" si="12"/>
        <v>0</v>
      </c>
      <c r="G140" s="139">
        <f ca="1">IF(ROUND(SUM(B140:C140,-F140),0)=0,0,IF($B$6="Yes",SUM($C$9:C140),SUM(B140:C140,-F140)))</f>
        <v>0</v>
      </c>
    </row>
    <row r="141" spans="1:7" ht="15" customHeight="1" x14ac:dyDescent="0.3">
      <c r="A141" s="138">
        <f t="shared" ca="1" si="10"/>
        <v>46446</v>
      </c>
      <c r="B141" s="89">
        <f t="shared" ca="1" si="13"/>
        <v>0</v>
      </c>
      <c r="C141" s="89">
        <f ca="1">IF(ISNA(MATCH($A141,LoanMonths,0))=TRUE,0,OFFSET(Forecast!$B$73,0,MATCH($A141,LoanMonths,0),1,1))</f>
        <v>0</v>
      </c>
      <c r="D141" s="140">
        <f t="shared" ca="1" si="14"/>
        <v>0</v>
      </c>
      <c r="E141" s="140">
        <f t="shared" ca="1" si="11"/>
        <v>0</v>
      </c>
      <c r="F141" s="89">
        <f t="shared" ca="1" si="12"/>
        <v>0</v>
      </c>
      <c r="G141" s="139">
        <f ca="1">IF(ROUND(SUM(B141:C141,-F141),0)=0,0,IF($B$6="Yes",SUM($C$9:C141),SUM(B141:C141,-F141)))</f>
        <v>0</v>
      </c>
    </row>
    <row r="142" spans="1:7" ht="15" customHeight="1" x14ac:dyDescent="0.3">
      <c r="A142" s="138">
        <f t="shared" ca="1" si="10"/>
        <v>46477</v>
      </c>
      <c r="B142" s="89">
        <f t="shared" ca="1" si="13"/>
        <v>0</v>
      </c>
      <c r="C142" s="89">
        <f ca="1">IF(ISNA(MATCH($A142,LoanMonths,0))=TRUE,0,OFFSET(Forecast!$B$73,0,MATCH($A142,LoanMonths,0),1,1))</f>
        <v>0</v>
      </c>
      <c r="D142" s="140">
        <f t="shared" ca="1" si="14"/>
        <v>0</v>
      </c>
      <c r="E142" s="140">
        <f t="shared" ca="1" si="11"/>
        <v>0</v>
      </c>
      <c r="F142" s="89">
        <f t="shared" ca="1" si="12"/>
        <v>0</v>
      </c>
      <c r="G142" s="139">
        <f ca="1">IF(ROUND(SUM(B142:C142,-F142),0)=0,0,IF($B$6="Yes",SUM($C$9:C142),SUM(B142:C142,-F142)))</f>
        <v>0</v>
      </c>
    </row>
    <row r="143" spans="1:7" ht="15" customHeight="1" x14ac:dyDescent="0.3">
      <c r="A143" s="138">
        <f t="shared" ca="1" si="10"/>
        <v>46507</v>
      </c>
      <c r="B143" s="89">
        <f t="shared" ca="1" si="13"/>
        <v>0</v>
      </c>
      <c r="C143" s="89">
        <f ca="1">IF(ISNA(MATCH($A143,LoanMonths,0))=TRUE,0,OFFSET(Forecast!$B$73,0,MATCH($A143,LoanMonths,0),1,1))</f>
        <v>0</v>
      </c>
      <c r="D143" s="140">
        <f t="shared" ca="1" si="14"/>
        <v>0</v>
      </c>
      <c r="E143" s="140">
        <f t="shared" ca="1" si="11"/>
        <v>0</v>
      </c>
      <c r="F143" s="89">
        <f t="shared" ca="1" si="12"/>
        <v>0</v>
      </c>
      <c r="G143" s="139">
        <f ca="1">IF(ROUND(SUM(B143:C143,-F143),0)=0,0,IF($B$6="Yes",SUM($C$9:C143),SUM(B143:C143,-F143)))</f>
        <v>0</v>
      </c>
    </row>
    <row r="144" spans="1:7" ht="15" customHeight="1" x14ac:dyDescent="0.3">
      <c r="A144" s="138">
        <f t="shared" ca="1" si="10"/>
        <v>46538</v>
      </c>
      <c r="B144" s="89">
        <f t="shared" ca="1" si="13"/>
        <v>0</v>
      </c>
      <c r="C144" s="89">
        <f ca="1">IF(ISNA(MATCH($A144,LoanMonths,0))=TRUE,0,OFFSET(Forecast!$B$73,0,MATCH($A144,LoanMonths,0),1,1))</f>
        <v>0</v>
      </c>
      <c r="D144" s="140">
        <f t="shared" ca="1" si="14"/>
        <v>0</v>
      </c>
      <c r="E144" s="140">
        <f t="shared" ca="1" si="11"/>
        <v>0</v>
      </c>
      <c r="F144" s="89">
        <f t="shared" ca="1" si="12"/>
        <v>0</v>
      </c>
      <c r="G144" s="139">
        <f ca="1">IF(ROUND(SUM(B144:C144,-F144),0)=0,0,IF($B$6="Yes",SUM($C$9:C144),SUM(B144:C144,-F144)))</f>
        <v>0</v>
      </c>
    </row>
    <row r="145" spans="1:7" ht="15" customHeight="1" x14ac:dyDescent="0.3">
      <c r="A145" s="138">
        <f t="shared" ca="1" si="10"/>
        <v>46568</v>
      </c>
      <c r="B145" s="89">
        <f t="shared" ca="1" si="13"/>
        <v>0</v>
      </c>
      <c r="C145" s="89">
        <f ca="1">IF(ISNA(MATCH($A145,LoanMonths,0))=TRUE,0,OFFSET(Forecast!$B$73,0,MATCH($A145,LoanMonths,0),1,1))</f>
        <v>0</v>
      </c>
      <c r="D145" s="140">
        <f t="shared" ca="1" si="14"/>
        <v>0</v>
      </c>
      <c r="E145" s="140">
        <f t="shared" ca="1" si="11"/>
        <v>0</v>
      </c>
      <c r="F145" s="89">
        <f t="shared" ca="1" si="12"/>
        <v>0</v>
      </c>
      <c r="G145" s="139">
        <f ca="1">IF(ROUND(SUM(B145:C145,-F145),0)=0,0,IF($B$6="Yes",SUM($C$9:C145),SUM(B145:C145,-F145)))</f>
        <v>0</v>
      </c>
    </row>
    <row r="146" spans="1:7" ht="15" customHeight="1" x14ac:dyDescent="0.3">
      <c r="A146" s="138">
        <f t="shared" ca="1" si="10"/>
        <v>46599</v>
      </c>
      <c r="B146" s="89">
        <f t="shared" ca="1" si="13"/>
        <v>0</v>
      </c>
      <c r="C146" s="89">
        <f ca="1">IF(ISNA(MATCH($A146,LoanMonths,0))=TRUE,0,OFFSET(Forecast!$B$73,0,MATCH($A146,LoanMonths,0),1,1))</f>
        <v>0</v>
      </c>
      <c r="D146" s="140">
        <f t="shared" ca="1" si="14"/>
        <v>0</v>
      </c>
      <c r="E146" s="140">
        <f t="shared" ca="1" si="11"/>
        <v>0</v>
      </c>
      <c r="F146" s="89">
        <f t="shared" ca="1" si="12"/>
        <v>0</v>
      </c>
      <c r="G146" s="139">
        <f ca="1">IF(ROUND(SUM(B146:C146,-F146),0)=0,0,IF($B$6="Yes",SUM($C$9:C146),SUM(B146:C146,-F146)))</f>
        <v>0</v>
      </c>
    </row>
    <row r="147" spans="1:7" ht="15" customHeight="1" x14ac:dyDescent="0.3">
      <c r="A147" s="138">
        <f t="shared" ca="1" si="10"/>
        <v>46630</v>
      </c>
      <c r="B147" s="89">
        <f t="shared" ca="1" si="13"/>
        <v>0</v>
      </c>
      <c r="C147" s="89">
        <f ca="1">IF(ISNA(MATCH($A147,LoanMonths,0))=TRUE,0,OFFSET(Forecast!$B$73,0,MATCH($A147,LoanMonths,0),1,1))</f>
        <v>0</v>
      </c>
      <c r="D147" s="140">
        <f t="shared" ca="1" si="14"/>
        <v>0</v>
      </c>
      <c r="E147" s="140">
        <f t="shared" ca="1" si="11"/>
        <v>0</v>
      </c>
      <c r="F147" s="89">
        <f t="shared" ca="1" si="12"/>
        <v>0</v>
      </c>
      <c r="G147" s="139">
        <f ca="1">IF(ROUND(SUM(B147:C147,-F147),0)=0,0,IF($B$6="Yes",SUM($C$9:C147),SUM(B147:C147,-F147)))</f>
        <v>0</v>
      </c>
    </row>
    <row r="148" spans="1:7" ht="15" customHeight="1" x14ac:dyDescent="0.3">
      <c r="A148" s="138">
        <f t="shared" ca="1" si="10"/>
        <v>46660</v>
      </c>
      <c r="B148" s="89">
        <f t="shared" ca="1" si="13"/>
        <v>0</v>
      </c>
      <c r="C148" s="89">
        <f ca="1">IF(ISNA(MATCH($A148,LoanMonths,0))=TRUE,0,OFFSET(Forecast!$B$73,0,MATCH($A148,LoanMonths,0),1,1))</f>
        <v>0</v>
      </c>
      <c r="D148" s="140">
        <f t="shared" ca="1" si="14"/>
        <v>0</v>
      </c>
      <c r="E148" s="140">
        <f t="shared" ca="1" si="11"/>
        <v>0</v>
      </c>
      <c r="F148" s="89">
        <f t="shared" ca="1" si="12"/>
        <v>0</v>
      </c>
      <c r="G148" s="139">
        <f ca="1">IF(ROUND(SUM(B148:C148,-F148),0)=0,0,IF($B$6="Yes",SUM($C$9:C148),SUM(B148:C148,-F148)))</f>
        <v>0</v>
      </c>
    </row>
    <row r="149" spans="1:7" ht="15" customHeight="1" x14ac:dyDescent="0.3">
      <c r="A149" s="138">
        <f t="shared" ca="1" si="10"/>
        <v>46691</v>
      </c>
      <c r="B149" s="89">
        <f t="shared" ca="1" si="13"/>
        <v>0</v>
      </c>
      <c r="C149" s="89">
        <f ca="1">IF(ISNA(MATCH($A149,LoanMonths,0))=TRUE,0,OFFSET(Forecast!$B$73,0,MATCH($A149,LoanMonths,0),1,1))</f>
        <v>0</v>
      </c>
      <c r="D149" s="140">
        <f t="shared" ca="1" si="14"/>
        <v>0</v>
      </c>
      <c r="E149" s="140">
        <f t="shared" ca="1" si="11"/>
        <v>0</v>
      </c>
      <c r="F149" s="89">
        <f t="shared" ca="1" si="12"/>
        <v>0</v>
      </c>
      <c r="G149" s="139">
        <f ca="1">IF(ROUND(SUM(B149:C149,-F149),0)=0,0,IF($B$6="Yes",SUM($C$9:C149),SUM(B149:C149,-F149)))</f>
        <v>0</v>
      </c>
    </row>
    <row r="150" spans="1:7" ht="15" customHeight="1" x14ac:dyDescent="0.3">
      <c r="A150" s="138">
        <f t="shared" ca="1" si="10"/>
        <v>46721</v>
      </c>
      <c r="B150" s="89">
        <f t="shared" ca="1" si="13"/>
        <v>0</v>
      </c>
      <c r="C150" s="89">
        <f ca="1">IF(ISNA(MATCH($A150,LoanMonths,0))=TRUE,0,OFFSET(Forecast!$B$73,0,MATCH($A150,LoanMonths,0),1,1))</f>
        <v>0</v>
      </c>
      <c r="D150" s="140">
        <f t="shared" ca="1" si="14"/>
        <v>0</v>
      </c>
      <c r="E150" s="140">
        <f t="shared" ca="1" si="11"/>
        <v>0</v>
      </c>
      <c r="F150" s="89">
        <f t="shared" ca="1" si="12"/>
        <v>0</v>
      </c>
      <c r="G150" s="139">
        <f ca="1">IF(ROUND(SUM(B150:C150,-F150),0)=0,0,IF($B$6="Yes",SUM($C$9:C150),SUM(B150:C150,-F150)))</f>
        <v>0</v>
      </c>
    </row>
    <row r="151" spans="1:7" ht="15" customHeight="1" x14ac:dyDescent="0.3">
      <c r="A151" s="138">
        <f t="shared" ca="1" si="10"/>
        <v>46752</v>
      </c>
      <c r="B151" s="89">
        <f t="shared" ca="1" si="13"/>
        <v>0</v>
      </c>
      <c r="C151" s="89">
        <f ca="1">IF(ISNA(MATCH($A151,LoanMonths,0))=TRUE,0,OFFSET(Forecast!$B$73,0,MATCH($A151,LoanMonths,0),1,1))</f>
        <v>0</v>
      </c>
      <c r="D151" s="140">
        <f t="shared" ca="1" si="14"/>
        <v>0</v>
      </c>
      <c r="E151" s="140">
        <f t="shared" ca="1" si="11"/>
        <v>0</v>
      </c>
      <c r="F151" s="89">
        <f t="shared" ca="1" si="12"/>
        <v>0</v>
      </c>
      <c r="G151" s="139">
        <f ca="1">IF(ROUND(SUM(B151:C151,-F151),0)=0,0,IF($B$6="Yes",SUM($C$9:C151),SUM(B151:C151,-F151)))</f>
        <v>0</v>
      </c>
    </row>
    <row r="152" spans="1:7" ht="15" customHeight="1" x14ac:dyDescent="0.3">
      <c r="A152" s="138">
        <f t="shared" ca="1" si="10"/>
        <v>46783</v>
      </c>
      <c r="B152" s="89">
        <f t="shared" ca="1" si="13"/>
        <v>0</v>
      </c>
      <c r="C152" s="89">
        <f ca="1">IF(ISNA(MATCH($A152,LoanMonths,0))=TRUE,0,OFFSET(Forecast!$B$73,0,MATCH($A152,LoanMonths,0),1,1))</f>
        <v>0</v>
      </c>
      <c r="D152" s="140">
        <f t="shared" ca="1" si="14"/>
        <v>0</v>
      </c>
      <c r="E152" s="140">
        <f t="shared" ca="1" si="11"/>
        <v>0</v>
      </c>
      <c r="F152" s="89">
        <f t="shared" ca="1" si="12"/>
        <v>0</v>
      </c>
      <c r="G152" s="139">
        <f ca="1">IF(ROUND(SUM(B152:C152,-F152),0)=0,0,IF($B$6="Yes",SUM($C$9:C152),SUM(B152:C152,-F152)))</f>
        <v>0</v>
      </c>
    </row>
    <row r="153" spans="1:7" ht="15" customHeight="1" x14ac:dyDescent="0.3">
      <c r="A153" s="138">
        <f t="shared" ca="1" si="10"/>
        <v>46812</v>
      </c>
      <c r="B153" s="89">
        <f t="shared" ca="1" si="13"/>
        <v>0</v>
      </c>
      <c r="C153" s="89">
        <f ca="1">IF(ISNA(MATCH($A153,LoanMonths,0))=TRUE,0,OFFSET(Forecast!$B$73,0,MATCH($A153,LoanMonths,0),1,1))</f>
        <v>0</v>
      </c>
      <c r="D153" s="140">
        <f t="shared" ca="1" si="14"/>
        <v>0</v>
      </c>
      <c r="E153" s="140">
        <f t="shared" ca="1" si="11"/>
        <v>0</v>
      </c>
      <c r="F153" s="89">
        <f t="shared" ca="1" si="12"/>
        <v>0</v>
      </c>
      <c r="G153" s="139">
        <f ca="1">IF(ROUND(SUM(B153:C153,-F153),0)=0,0,IF($B$6="Yes",SUM($C$9:C153),SUM(B153:C153,-F153)))</f>
        <v>0</v>
      </c>
    </row>
    <row r="154" spans="1:7" ht="15" customHeight="1" x14ac:dyDescent="0.3">
      <c r="A154" s="138">
        <f t="shared" ca="1" si="10"/>
        <v>46843</v>
      </c>
      <c r="B154" s="89">
        <f t="shared" ca="1" si="13"/>
        <v>0</v>
      </c>
      <c r="C154" s="89">
        <f ca="1">IF(ISNA(MATCH($A154,LoanMonths,0))=TRUE,0,OFFSET(Forecast!$B$73,0,MATCH($A154,LoanMonths,0),1,1))</f>
        <v>0</v>
      </c>
      <c r="D154" s="140">
        <f t="shared" ca="1" si="14"/>
        <v>0</v>
      </c>
      <c r="E154" s="140">
        <f t="shared" ca="1" si="11"/>
        <v>0</v>
      </c>
      <c r="F154" s="89">
        <f t="shared" ca="1" si="12"/>
        <v>0</v>
      </c>
      <c r="G154" s="139">
        <f ca="1">IF(ROUND(SUM(B154:C154,-F154),0)=0,0,IF($B$6="Yes",SUM($C$9:C154),SUM(B154:C154,-F154)))</f>
        <v>0</v>
      </c>
    </row>
    <row r="155" spans="1:7" ht="15" customHeight="1" x14ac:dyDescent="0.3">
      <c r="A155" s="138">
        <f t="shared" ca="1" si="10"/>
        <v>46873</v>
      </c>
      <c r="B155" s="89">
        <f t="shared" ca="1" si="13"/>
        <v>0</v>
      </c>
      <c r="C155" s="89">
        <f ca="1">IF(ISNA(MATCH($A155,LoanMonths,0))=TRUE,0,OFFSET(Forecast!$B$73,0,MATCH($A155,LoanMonths,0),1,1))</f>
        <v>0</v>
      </c>
      <c r="D155" s="140">
        <f t="shared" ca="1" si="14"/>
        <v>0</v>
      </c>
      <c r="E155" s="140">
        <f t="shared" ca="1" si="11"/>
        <v>0</v>
      </c>
      <c r="F155" s="89">
        <f t="shared" ca="1" si="12"/>
        <v>0</v>
      </c>
      <c r="G155" s="139">
        <f ca="1">IF(ROUND(SUM(B155:C155,-F155),0)=0,0,IF($B$6="Yes",SUM($C$9:C155),SUM(B155:C155,-F155)))</f>
        <v>0</v>
      </c>
    </row>
    <row r="156" spans="1:7" ht="15" customHeight="1" x14ac:dyDescent="0.3">
      <c r="A156" s="138">
        <f t="shared" ca="1" si="10"/>
        <v>46904</v>
      </c>
      <c r="B156" s="89">
        <f t="shared" ca="1" si="13"/>
        <v>0</v>
      </c>
      <c r="C156" s="89">
        <f ca="1">IF(ISNA(MATCH($A156,LoanMonths,0))=TRUE,0,OFFSET(Forecast!$B$73,0,MATCH($A156,LoanMonths,0),1,1))</f>
        <v>0</v>
      </c>
      <c r="D156" s="140">
        <f t="shared" ca="1" si="14"/>
        <v>0</v>
      </c>
      <c r="E156" s="140">
        <f t="shared" ca="1" si="11"/>
        <v>0</v>
      </c>
      <c r="F156" s="89">
        <f t="shared" ca="1" si="12"/>
        <v>0</v>
      </c>
      <c r="G156" s="139">
        <f ca="1">IF(ROUND(SUM(B156:C156,-F156),0)=0,0,IF($B$6="Yes",SUM($C$9:C156),SUM(B156:C156,-F156)))</f>
        <v>0</v>
      </c>
    </row>
    <row r="157" spans="1:7" ht="15" customHeight="1" x14ac:dyDescent="0.3">
      <c r="A157" s="138">
        <f t="shared" ca="1" si="10"/>
        <v>46934</v>
      </c>
      <c r="B157" s="89">
        <f t="shared" ca="1" si="13"/>
        <v>0</v>
      </c>
      <c r="C157" s="89">
        <f ca="1">IF(ISNA(MATCH($A157,LoanMonths,0))=TRUE,0,OFFSET(Forecast!$B$73,0,MATCH($A157,LoanMonths,0),1,1))</f>
        <v>0</v>
      </c>
      <c r="D157" s="140">
        <f t="shared" ca="1" si="14"/>
        <v>0</v>
      </c>
      <c r="E157" s="140">
        <f t="shared" ca="1" si="11"/>
        <v>0</v>
      </c>
      <c r="F157" s="89">
        <f t="shared" ca="1" si="12"/>
        <v>0</v>
      </c>
      <c r="G157" s="139">
        <f ca="1">IF(ROUND(SUM(B157:C157,-F157),0)=0,0,IF($B$6="Yes",SUM($C$9:C157),SUM(B157:C157,-F157)))</f>
        <v>0</v>
      </c>
    </row>
    <row r="158" spans="1:7" ht="15" customHeight="1" x14ac:dyDescent="0.3">
      <c r="A158" s="138">
        <f t="shared" ca="1" si="10"/>
        <v>46965</v>
      </c>
      <c r="B158" s="89">
        <f t="shared" ca="1" si="13"/>
        <v>0</v>
      </c>
      <c r="C158" s="89">
        <f ca="1">IF(ISNA(MATCH($A158,LoanMonths,0))=TRUE,0,OFFSET(Forecast!$B$73,0,MATCH($A158,LoanMonths,0),1,1))</f>
        <v>0</v>
      </c>
      <c r="D158" s="140">
        <f t="shared" ca="1" si="14"/>
        <v>0</v>
      </c>
      <c r="E158" s="140">
        <f t="shared" ca="1" si="11"/>
        <v>0</v>
      </c>
      <c r="F158" s="89">
        <f t="shared" ca="1" si="12"/>
        <v>0</v>
      </c>
      <c r="G158" s="139">
        <f ca="1">IF(ROUND(SUM(B158:C158,-F158),0)=0,0,IF($B$6="Yes",SUM($C$9:C158),SUM(B158:C158,-F158)))</f>
        <v>0</v>
      </c>
    </row>
    <row r="159" spans="1:7" ht="15" customHeight="1" x14ac:dyDescent="0.3">
      <c r="A159" s="138">
        <f t="shared" ca="1" si="10"/>
        <v>46996</v>
      </c>
      <c r="B159" s="89">
        <f t="shared" ca="1" si="13"/>
        <v>0</v>
      </c>
      <c r="C159" s="89">
        <f ca="1">IF(ISNA(MATCH($A159,LoanMonths,0))=TRUE,0,OFFSET(Forecast!$B$73,0,MATCH($A159,LoanMonths,0),1,1))</f>
        <v>0</v>
      </c>
      <c r="D159" s="140">
        <f t="shared" ca="1" si="14"/>
        <v>0</v>
      </c>
      <c r="E159" s="140">
        <f t="shared" ca="1" si="11"/>
        <v>0</v>
      </c>
      <c r="F159" s="89">
        <f t="shared" ca="1" si="12"/>
        <v>0</v>
      </c>
      <c r="G159" s="139">
        <f ca="1">IF(ROUND(SUM(B159:C159,-F159),0)=0,0,IF($B$6="Yes",SUM($C$9:C159),SUM(B159:C159,-F159)))</f>
        <v>0</v>
      </c>
    </row>
    <row r="160" spans="1:7" ht="15" customHeight="1" x14ac:dyDescent="0.3">
      <c r="A160" s="138">
        <f t="shared" ca="1" si="10"/>
        <v>47026</v>
      </c>
      <c r="B160" s="89">
        <f t="shared" ca="1" si="13"/>
        <v>0</v>
      </c>
      <c r="C160" s="89">
        <f ca="1">IF(ISNA(MATCH($A160,LoanMonths,0))=TRUE,0,OFFSET(Forecast!$B$73,0,MATCH($A160,LoanMonths,0),1,1))</f>
        <v>0</v>
      </c>
      <c r="D160" s="140">
        <f t="shared" ca="1" si="14"/>
        <v>0</v>
      </c>
      <c r="E160" s="140">
        <f t="shared" ca="1" si="11"/>
        <v>0</v>
      </c>
      <c r="F160" s="89">
        <f t="shared" ca="1" si="12"/>
        <v>0</v>
      </c>
      <c r="G160" s="139">
        <f ca="1">IF(ROUND(SUM(B160:C160,-F160),0)=0,0,IF($B$6="Yes",SUM($C$9:C160),SUM(B160:C160,-F160)))</f>
        <v>0</v>
      </c>
    </row>
    <row r="161" spans="1:7" ht="15" customHeight="1" x14ac:dyDescent="0.3">
      <c r="A161" s="138">
        <f t="shared" ca="1" si="10"/>
        <v>47057</v>
      </c>
      <c r="B161" s="89">
        <f t="shared" ca="1" si="13"/>
        <v>0</v>
      </c>
      <c r="C161" s="89">
        <f ca="1">IF(ISNA(MATCH($A161,LoanMonths,0))=TRUE,0,OFFSET(Forecast!$B$73,0,MATCH($A161,LoanMonths,0),1,1))</f>
        <v>0</v>
      </c>
      <c r="D161" s="140">
        <f t="shared" ca="1" si="14"/>
        <v>0</v>
      </c>
      <c r="E161" s="140">
        <f t="shared" ca="1" si="11"/>
        <v>0</v>
      </c>
      <c r="F161" s="89">
        <f t="shared" ca="1" si="12"/>
        <v>0</v>
      </c>
      <c r="G161" s="139">
        <f ca="1">IF(ROUND(SUM(B161:C161,-F161),0)=0,0,IF($B$6="Yes",SUM($C$9:C161),SUM(B161:C161,-F161)))</f>
        <v>0</v>
      </c>
    </row>
    <row r="162" spans="1:7" ht="15" customHeight="1" x14ac:dyDescent="0.3">
      <c r="A162" s="138">
        <f t="shared" ca="1" si="10"/>
        <v>47087</v>
      </c>
      <c r="B162" s="89">
        <f t="shared" ca="1" si="13"/>
        <v>0</v>
      </c>
      <c r="C162" s="89">
        <f ca="1">IF(ISNA(MATCH($A162,LoanMonths,0))=TRUE,0,OFFSET(Forecast!$B$73,0,MATCH($A162,LoanMonths,0),1,1))</f>
        <v>0</v>
      </c>
      <c r="D162" s="140">
        <f t="shared" ca="1" si="14"/>
        <v>0</v>
      </c>
      <c r="E162" s="140">
        <f t="shared" ca="1" si="11"/>
        <v>0</v>
      </c>
      <c r="F162" s="89">
        <f t="shared" ca="1" si="12"/>
        <v>0</v>
      </c>
      <c r="G162" s="139">
        <f ca="1">IF(ROUND(SUM(B162:C162,-F162),0)=0,0,IF($B$6="Yes",SUM($C$9:C162),SUM(B162:C162,-F162)))</f>
        <v>0</v>
      </c>
    </row>
    <row r="163" spans="1:7" ht="15" customHeight="1" x14ac:dyDescent="0.3">
      <c r="A163" s="138">
        <f t="shared" ca="1" si="10"/>
        <v>47118</v>
      </c>
      <c r="B163" s="89">
        <f t="shared" ca="1" si="13"/>
        <v>0</v>
      </c>
      <c r="C163" s="89">
        <f ca="1">IF(ISNA(MATCH($A163,LoanMonths,0))=TRUE,0,OFFSET(Forecast!$B$73,0,MATCH($A163,LoanMonths,0),1,1))</f>
        <v>0</v>
      </c>
      <c r="D163" s="140">
        <f t="shared" ca="1" si="14"/>
        <v>0</v>
      </c>
      <c r="E163" s="140">
        <f t="shared" ca="1" si="11"/>
        <v>0</v>
      </c>
      <c r="F163" s="89">
        <f t="shared" ca="1" si="12"/>
        <v>0</v>
      </c>
      <c r="G163" s="139">
        <f ca="1">IF(ROUND(SUM(B163:C163,-F163),0)=0,0,IF($B$6="Yes",SUM($C$9:C163),SUM(B163:C163,-F163)))</f>
        <v>0</v>
      </c>
    </row>
    <row r="164" spans="1:7" ht="15" customHeight="1" x14ac:dyDescent="0.3">
      <c r="A164" s="138">
        <f t="shared" ca="1" si="10"/>
        <v>47149</v>
      </c>
      <c r="B164" s="89">
        <f t="shared" ca="1" si="13"/>
        <v>0</v>
      </c>
      <c r="C164" s="89">
        <f ca="1">IF(ISNA(MATCH($A164,LoanMonths,0))=TRUE,0,OFFSET(Forecast!$B$73,0,MATCH($A164,LoanMonths,0),1,1))</f>
        <v>0</v>
      </c>
      <c r="D164" s="140">
        <f t="shared" ca="1" si="14"/>
        <v>0</v>
      </c>
      <c r="E164" s="140">
        <f t="shared" ca="1" si="11"/>
        <v>0</v>
      </c>
      <c r="F164" s="89">
        <f t="shared" ca="1" si="12"/>
        <v>0</v>
      </c>
      <c r="G164" s="139">
        <f ca="1">IF(ROUND(SUM(B164:C164,-F164),0)=0,0,IF($B$6="Yes",SUM($C$9:C164),SUM(B164:C164,-F164)))</f>
        <v>0</v>
      </c>
    </row>
    <row r="165" spans="1:7" ht="15" customHeight="1" x14ac:dyDescent="0.3">
      <c r="A165" s="138">
        <f t="shared" ca="1" si="10"/>
        <v>47177</v>
      </c>
      <c r="B165" s="89">
        <f t="shared" ca="1" si="13"/>
        <v>0</v>
      </c>
      <c r="C165" s="89">
        <f ca="1">IF(ISNA(MATCH($A165,LoanMonths,0))=TRUE,0,OFFSET(Forecast!$B$73,0,MATCH($A165,LoanMonths,0),1,1))</f>
        <v>0</v>
      </c>
      <c r="D165" s="140">
        <f t="shared" ca="1" si="14"/>
        <v>0</v>
      </c>
      <c r="E165" s="140">
        <f t="shared" ca="1" si="11"/>
        <v>0</v>
      </c>
      <c r="F165" s="89">
        <f t="shared" ca="1" si="12"/>
        <v>0</v>
      </c>
      <c r="G165" s="139">
        <f ca="1">IF(ROUND(SUM(B165:C165,-F165),0)=0,0,IF($B$6="Yes",SUM($C$9:C165),SUM(B165:C165,-F165)))</f>
        <v>0</v>
      </c>
    </row>
    <row r="166" spans="1:7" ht="15" customHeight="1" x14ac:dyDescent="0.3">
      <c r="A166" s="138"/>
    </row>
    <row r="167" spans="1:7" ht="15" customHeight="1" x14ac:dyDescent="0.3">
      <c r="A167" s="138"/>
    </row>
    <row r="168" spans="1:7" ht="15" customHeight="1" x14ac:dyDescent="0.3">
      <c r="A168" s="138"/>
    </row>
    <row r="169" spans="1:7" ht="15" customHeight="1" x14ac:dyDescent="0.3">
      <c r="A169" s="138"/>
    </row>
  </sheetData>
  <phoneticPr fontId="3" type="noConversion"/>
  <pageMargins left="0.55118110236220474" right="0.55118110236220474" top="0.59055118110236227" bottom="0.59055118110236227" header="0.39370078740157483" footer="0.39370078740157483"/>
  <pageSetup paperSize="9" scale="95" fitToHeight="4" orientation="portrait" r:id="rId1"/>
  <headerFooter alignWithMargins="0">
    <oddFooter>&amp;C&amp;9Page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2"/>
  <sheetViews>
    <sheetView tabSelected="1" zoomScale="95" zoomScaleNormal="95" workbookViewId="0">
      <pane ySplit="4" topLeftCell="A5" activePane="bottomLeft" state="frozen"/>
      <selection pane="bottomLeft" activeCell="I1" sqref="I1"/>
    </sheetView>
  </sheetViews>
  <sheetFormatPr defaultColWidth="9.1328125" defaultRowHeight="15" customHeight="1" x14ac:dyDescent="0.3"/>
  <cols>
    <col min="1" max="1" width="38.73046875" style="3" customWidth="1"/>
    <col min="2" max="2" width="5.73046875" style="22" customWidth="1"/>
    <col min="3" max="5" width="14.73046875" style="29" customWidth="1"/>
    <col min="6" max="6" width="14.73046875" style="68" customWidth="1"/>
    <col min="7" max="9" width="14.73046875" style="5" customWidth="1"/>
    <col min="10" max="10" width="14.73046875" style="68" customWidth="1"/>
    <col min="11" max="16384" width="9.1328125" style="5"/>
  </cols>
  <sheetData>
    <row r="1" spans="1:10" x14ac:dyDescent="0.4">
      <c r="A1" s="1" t="str">
        <f>Assumptions!$B$4</f>
        <v>Example Trading Limited</v>
      </c>
      <c r="B1" s="63"/>
      <c r="C1" s="182"/>
      <c r="D1" s="182"/>
      <c r="E1" s="182"/>
      <c r="F1" s="182"/>
      <c r="G1" s="182"/>
      <c r="H1" s="64" t="s">
        <v>114</v>
      </c>
      <c r="I1" s="65">
        <v>42613</v>
      </c>
      <c r="J1" s="143" t="str">
        <f ca="1">IF(ISNA(MATCH(Report!$I$1,Months,0))=TRUE,"Select period!","")</f>
        <v/>
      </c>
    </row>
    <row r="2" spans="1:10" ht="15" customHeight="1" x14ac:dyDescent="0.35">
      <c r="A2" s="66" t="s">
        <v>83</v>
      </c>
      <c r="B2" s="67"/>
      <c r="H2" s="147" t="s">
        <v>58</v>
      </c>
      <c r="I2" s="148">
        <f ca="1">IF(ISNA(MATCH(Report!$I$1,Months,0))=TRUE,0,IF(MATCH($I$1,Months,0)&lt;=12,MATCH($I$1,Months,0),IF(MATCH($I$1,Months,0)&gt;24,MATCH($I$1,Months,0)-24,MATCH($I$1,Months,0)-12)))</f>
        <v>6</v>
      </c>
      <c r="J2" s="69" t="str">
        <f ca="1">IF(ISNA($C$5)=TRUE,"Change Period!","")</f>
        <v/>
      </c>
    </row>
    <row r="3" spans="1:10" s="72" customFormat="1" ht="18" customHeight="1" x14ac:dyDescent="0.35">
      <c r="A3" s="168" t="s">
        <v>76</v>
      </c>
      <c r="B3" s="71"/>
      <c r="C3" s="176" t="s">
        <v>55</v>
      </c>
      <c r="D3" s="177"/>
      <c r="E3" s="177"/>
      <c r="F3" s="178"/>
      <c r="G3" s="179" t="s">
        <v>75</v>
      </c>
      <c r="H3" s="180"/>
      <c r="I3" s="180"/>
      <c r="J3" s="181"/>
    </row>
    <row r="4" spans="1:10" s="77" customFormat="1" ht="18" customHeight="1" x14ac:dyDescent="0.35">
      <c r="A4" s="174" t="s">
        <v>112</v>
      </c>
      <c r="B4" s="175"/>
      <c r="C4" s="73" t="s">
        <v>57</v>
      </c>
      <c r="D4" s="74" t="s">
        <v>59</v>
      </c>
      <c r="E4" s="74" t="s">
        <v>60</v>
      </c>
      <c r="F4" s="75" t="s">
        <v>73</v>
      </c>
      <c r="G4" s="76" t="s">
        <v>57</v>
      </c>
      <c r="H4" s="53" t="s">
        <v>59</v>
      </c>
      <c r="I4" s="74" t="s">
        <v>60</v>
      </c>
      <c r="J4" s="75" t="s">
        <v>73</v>
      </c>
    </row>
    <row r="5" spans="1:10" s="47" customFormat="1" ht="15" customHeight="1" x14ac:dyDescent="0.35">
      <c r="A5" s="43" t="s">
        <v>0</v>
      </c>
      <c r="B5" s="78"/>
      <c r="C5" s="79">
        <f ca="1">IF(ISNA(MATCH(Report!$I$1,Months,0))=TRUE,0,IF(MATCH(Report!$I$1,Months,0)&lt;=12,OFFSET(Forecast!$B$5,0,MATCH(Report!$I$1,Months,0),1,1),IF(MATCH(Report!$I$1,Months,0)&gt;=25,OFFSET(Forecast!$B$5,0,MATCH(Report!$I$1,Months,0)+2,1,1),OFFSET(Forecast!$B$5,0,MATCH(Report!$I$1,Months,0)+1,1,1))))</f>
        <v>320000</v>
      </c>
      <c r="D5" s="80">
        <f ca="1">IF(ISNA(MATCH(Report!$I$1,Months,0))=TRUE,0,IF(MATCH(Report!$I$1,Months,0)&lt;=12,OFFSET(Actual!$B$5,0,MATCH(Report!$I$1,Months,0),1,1),IF(MATCH(Report!$I$1,Months,0)&gt;=25,OFFSET(Actual!$B$5,0,MATCH(Report!$I$1,Months,0)+2,1,1),OFFSET(Actual!$B$5,0,MATCH(Report!$I$1,Months,0)+1,1,1))))</f>
        <v>319030</v>
      </c>
      <c r="E5" s="16">
        <f ca="1">D5-C5</f>
        <v>-970</v>
      </c>
      <c r="F5" s="81">
        <f ca="1">IF(C5=0,IF(E5=0,0,-1),E5/ABS(C5))</f>
        <v>-3.0312500000000001E-3</v>
      </c>
      <c r="G5" s="79">
        <f ca="1">IF(ISNA(MATCH(Report!$I$1,Months,0))=TRUE,0,IF(MATCH(Report!$I$1,Months,0)&lt;=12,SUM(OFFSET(Forecast!$B$5,0,MATCH(Report!$I$1,Months,0),1,-$I$2)),IF(MATCH(Report!$I$1,Months,0)&gt;=25,SUM(OFFSET(Forecast!$B$5,0,MATCH(Report!$I$1,Months,0)+2,1,-$I$2)),SUM(OFFSET(Forecast!$B$5,0,MATCH(Report!$I$1,Months,0)+1,1,-$I$2)))))</f>
        <v>1906000</v>
      </c>
      <c r="H5" s="80">
        <f ca="1">IF(ISNA(MATCH(Report!$I$1,Months,0))=TRUE,0,IF(MATCH(Report!$I$1,Months,0)&lt;=12,SUM(OFFSET(Actual!$B$5,0,MATCH(Report!$I$1,Months,0),1,-$I$2)),IF(MATCH(Report!$I$1,Months,0)&gt;=25,SUM(OFFSET(Actual!$B$5,0,MATCH(Report!$I$1,Months,0)+2,1,-$I$2)),SUM(OFFSET(Actual!$B$5,0,MATCH(Report!$I$1,Months,0)+1,1,-$I$2)))))</f>
        <v>1908775</v>
      </c>
      <c r="I5" s="16">
        <f ca="1">H5-G5</f>
        <v>2775</v>
      </c>
      <c r="J5" s="81">
        <f ca="1">IF(G5=0,IF(I5=0,0,-1),I5/ABS(G5))</f>
        <v>1.4559286463798531E-3</v>
      </c>
    </row>
    <row r="6" spans="1:10" ht="15" customHeight="1" x14ac:dyDescent="0.3">
      <c r="C6" s="23"/>
      <c r="D6" s="28"/>
      <c r="F6" s="30"/>
      <c r="G6" s="23"/>
      <c r="H6" s="28"/>
      <c r="I6" s="29"/>
      <c r="J6" s="30"/>
    </row>
    <row r="7" spans="1:10" s="47" customFormat="1" ht="15" customHeight="1" x14ac:dyDescent="0.35">
      <c r="A7" s="43" t="s">
        <v>1</v>
      </c>
      <c r="B7" s="78"/>
      <c r="C7" s="82">
        <f ca="1">IF(ISNA(MATCH(Report!$I$1,Months,0))=TRUE,0,IF(MATCH(Report!$I$1,Months,0)&lt;=12,OFFSET(Forecast!$B$7,0,MATCH(Report!$I$1,Months,0),1,1),IF(MATCH(Report!$I$1,Months,0)&gt;=25,OFFSET(Forecast!$B$7,0,MATCH(Report!$I$1,Months,0)+2,1,1),OFFSET(Forecast!$B$7,0,MATCH(Report!$I$1,Months,0)+1,1,1))))</f>
        <v>201600</v>
      </c>
      <c r="D7" s="83">
        <f ca="1">IF(ISNA(MATCH(Report!$I$1,Months,0))=TRUE,0,IF(MATCH(Report!$I$1,Months,0)&lt;=12,OFFSET(Actual!$B$7,0,MATCH(Report!$I$1,Months,0),1,1),IF(MATCH(Report!$I$1,Months,0)&gt;=25,OFFSET(Actual!$B$7,0,MATCH(Report!$I$1,Months,0)+2,1,1),OFFSET(Actual!$B$7,0,MATCH(Report!$I$1,Months,0)+1,1,1))))</f>
        <v>207369.5</v>
      </c>
      <c r="E7" s="16">
        <f ca="1">C7-D7</f>
        <v>-5769.5</v>
      </c>
      <c r="F7" s="84">
        <f ca="1">IF(C7=0,IF(E7=0,0,-1),E7/ABS(C7))</f>
        <v>-2.8618551587301588E-2</v>
      </c>
      <c r="G7" s="82">
        <f ca="1">IF(ISNA(MATCH(Report!$I$1,Months,0))=TRUE,0,IF(MATCH(Report!$I$1,Months,0)&lt;=12,SUM(OFFSET(Forecast!$B$7,0,MATCH(Report!$I$1,Months,0),1,-$I$2)),IF(MATCH(Report!$I$1,Months,0)&gt;=25,SUM(OFFSET(Forecast!$B$7,0,MATCH(Report!$I$1,Months,0)+2,1,-$I$2)),SUM(OFFSET(Forecast!$B$7,0,MATCH(Report!$I$1,Months,0)+1,1,-$I$2)))))</f>
        <v>1219790</v>
      </c>
      <c r="H7" s="83">
        <f ca="1">IF(ISNA(MATCH(Report!$I$1,Months,0))=TRUE,0,IF(MATCH(Report!$I$1,Months,0)&lt;=12,SUM(OFFSET(Actual!$B$7,0,MATCH(Report!$I$1,Months,0),1,-$I$2)),IF(MATCH(Report!$I$1,Months,0)&gt;=25,SUM(OFFSET(Actual!$B$7,0,MATCH(Report!$I$1,Months,0)+2,1,-$I$2)),SUM(OFFSET(Actual!$B$7,0,MATCH(Report!$I$1,Months,0)+1,1,-$I$2)))))</f>
        <v>1242772.3800000001</v>
      </c>
      <c r="I7" s="16">
        <f ca="1">G7-H7</f>
        <v>-22982.380000000121</v>
      </c>
      <c r="J7" s="84">
        <f ca="1">IF(G7=0,IF(I7=0,0,-1),I7/ABS(G7))</f>
        <v>-1.8841259561072087E-2</v>
      </c>
    </row>
    <row r="8" spans="1:10" ht="15" customHeight="1" x14ac:dyDescent="0.3">
      <c r="C8" s="23"/>
      <c r="D8" s="28"/>
      <c r="F8" s="30"/>
      <c r="G8" s="23"/>
      <c r="H8" s="28"/>
      <c r="I8" s="29"/>
      <c r="J8" s="30"/>
    </row>
    <row r="9" spans="1:10" s="47" customFormat="1" ht="15" customHeight="1" x14ac:dyDescent="0.35">
      <c r="A9" s="43" t="s">
        <v>2</v>
      </c>
      <c r="B9" s="78"/>
      <c r="C9" s="82">
        <f ca="1">SUM(C5,-C7)</f>
        <v>118400</v>
      </c>
      <c r="D9" s="83">
        <f ca="1">SUM(D5,-D7)</f>
        <v>111660.5</v>
      </c>
      <c r="E9" s="83">
        <f ca="1">SUM(E5,E7)</f>
        <v>-6739.5</v>
      </c>
      <c r="F9" s="84">
        <f ca="1">IF(C9=0,IF(E9=0,0,-1),E9/ABS(C9))</f>
        <v>-5.6921452702702706E-2</v>
      </c>
      <c r="G9" s="82">
        <f ca="1">SUM(G5,-G7)</f>
        <v>686210</v>
      </c>
      <c r="H9" s="83">
        <f ca="1">SUM(H5,-H7)</f>
        <v>666002.61999999988</v>
      </c>
      <c r="I9" s="83">
        <f ca="1">SUM(I5,I7)</f>
        <v>-20207.380000000121</v>
      </c>
      <c r="J9" s="84">
        <f ca="1">IF(G9=0,IF(I9=0,0,-1),I9/ABS(G9))</f>
        <v>-2.9447807522478719E-2</v>
      </c>
    </row>
    <row r="10" spans="1:10" s="17" customFormat="1" ht="15" customHeight="1" x14ac:dyDescent="0.35">
      <c r="A10" s="17" t="s">
        <v>3</v>
      </c>
      <c r="B10" s="18"/>
      <c r="C10" s="19">
        <f ca="1">IF(C5=0,0,C9/C5)</f>
        <v>0.37</v>
      </c>
      <c r="D10" s="20">
        <f ca="1">IF(D5=0,0,D9/D5)</f>
        <v>0.35</v>
      </c>
      <c r="E10" s="158">
        <f ca="1">D10-C10</f>
        <v>-2.0000000000000018E-2</v>
      </c>
      <c r="F10" s="21"/>
      <c r="G10" s="19">
        <f ca="1">IF(G5=0,0,G9/G5)</f>
        <v>0.36002623294858344</v>
      </c>
      <c r="H10" s="20">
        <f ca="1">IF(H5=0,0,H9/H5)</f>
        <v>0.34891625257036574</v>
      </c>
      <c r="I10" s="158">
        <f ca="1">H10-G10</f>
        <v>-1.1109980378217699E-2</v>
      </c>
      <c r="J10" s="21"/>
    </row>
    <row r="11" spans="1:10" ht="15" customHeight="1" x14ac:dyDescent="0.35">
      <c r="A11" s="43"/>
      <c r="B11" s="78"/>
      <c r="C11" s="23"/>
      <c r="D11" s="28"/>
      <c r="F11" s="30"/>
      <c r="G11" s="23"/>
      <c r="H11" s="28"/>
      <c r="I11" s="29"/>
      <c r="J11" s="30"/>
    </row>
    <row r="12" spans="1:10" s="47" customFormat="1" ht="15" customHeight="1" x14ac:dyDescent="0.35">
      <c r="A12" s="43" t="s">
        <v>64</v>
      </c>
      <c r="B12" s="78"/>
      <c r="C12" s="82"/>
      <c r="D12" s="83"/>
      <c r="E12" s="16"/>
      <c r="F12" s="84"/>
      <c r="G12" s="82"/>
      <c r="H12" s="83"/>
      <c r="I12" s="16"/>
      <c r="J12" s="84"/>
    </row>
    <row r="13" spans="1:10" ht="15" customHeight="1" x14ac:dyDescent="0.3">
      <c r="A13" s="3" t="str">
        <f ca="1">OFFSET(Forecast!$B$12,ROW($B13)-ROW($B$12),0,1,1)</f>
        <v>Accounting Fees</v>
      </c>
      <c r="B13" s="22" t="str">
        <f ca="1">IF(A13&lt;&gt;OFFSET(Actual!$B$12,ROW($A13)-ROW($A$12),0,1,1),"ERR","")</f>
        <v/>
      </c>
      <c r="C13" s="23">
        <f ca="1">IF(ISNA(MATCH(Report!$I$1,Months,0))=TRUE,0,IF(MATCH(Report!$I$1,Months,0)&lt;=12,OFFSET(Forecast!$B$12,ROW($A13)-ROW($A$12),MATCH(Report!$I$1,Months,0),1,1),IF(MATCH(Report!$I$1,Months,0)&gt;=25,OFFSET(Forecast!$B$12,ROW($A13)-ROW($A$12),MATCH(Report!$I$1,Months,0)+2,1,1),OFFSET(Forecast!$B$12,ROW($A13)-ROW($A$12),MATCH(Report!$I$1,Months,0)+1,1,1))))</f>
        <v>2000</v>
      </c>
      <c r="D13" s="28">
        <f ca="1">IF(ISNA(MATCH(Report!$I$1,Months,0))=TRUE,0,IF(MATCH(Report!$I$1,Months,0)&lt;=12,OFFSET(Actual!$B$12,ROW($A13)-ROW($A$12),MATCH(Report!$I$1,Months,0),1,1),IF(MATCH(Report!$I$1,Months,0)&gt;=25,OFFSET(Actual!$B$12,ROW($A13)-ROW($A$12),MATCH(Report!$I$1,Months,0)+2,1,1),OFFSET(Actual!$B$12,ROW($A13)-ROW($A$12),MATCH(Report!$I$1,Months,0)+1,1,1))))</f>
        <v>1950</v>
      </c>
      <c r="E13" s="29">
        <f ca="1">C13-D13</f>
        <v>50</v>
      </c>
      <c r="F13" s="30">
        <f t="shared" ref="F13:F36" ca="1" si="0">IF(C13=0,IF(E13=0,0,-1),E13/ABS(C13))</f>
        <v>2.5000000000000001E-2</v>
      </c>
      <c r="G13" s="23">
        <f ca="1">IF(ISNA(MATCH(Report!$I$1,Months,0))=TRUE,0,IF(MATCH(Report!$I$1,Months,0)&lt;=12,SUM(OFFSET(Forecast!$B$12,ROW($A13)-ROW($A$12),MATCH(Report!$I$1,Months,0),1,-$I$2)),IF(MATCH(Report!$I$1,Months,0)&gt;=25,SUM(OFFSET(Forecast!$B$12,ROW($A13)-ROW($A$12),MATCH(Report!$I$1,Months,0)+2,1,-$I$2)),SUM(OFFSET(Forecast!$B$12,ROW($A13)-ROW($A$12),MATCH(Report!$I$1,Months,0)+1,1,-$I$2)))))</f>
        <v>12000</v>
      </c>
      <c r="H13" s="28">
        <f ca="1">IF(ISNA(MATCH(Report!$I$1,Months,0))=TRUE,0,IF(MATCH(Report!$I$1,Months,0)&lt;=12,SUM(OFFSET(Actual!$B$12,ROW($A13)-ROW($A$12),MATCH(Report!$I$1,Months,0),1,-$I$2)),IF(MATCH(Report!$I$1,Months,0)&gt;=25,SUM(OFFSET(Actual!$B$12,ROW($A13)-ROW($A$12),MATCH(Report!$I$1,Months,0)+2,1,-$I$2)),SUM(OFFSET(Actual!$B$12,ROW($A13)-ROW($A$12),MATCH(Report!$I$1,Months,0)+1,1,-$I$2)))))</f>
        <v>11700</v>
      </c>
      <c r="I13" s="29">
        <f ca="1">G13-H13</f>
        <v>300</v>
      </c>
      <c r="J13" s="30">
        <f t="shared" ref="J13:J36" ca="1" si="1">IF(G13=0,IF(I13=0,0,-1),I13/ABS(G13))</f>
        <v>2.5000000000000001E-2</v>
      </c>
    </row>
    <row r="14" spans="1:10" ht="15" customHeight="1" x14ac:dyDescent="0.3">
      <c r="A14" s="3" t="str">
        <f ca="1">OFFSET(Forecast!$B$12,ROW($B14)-ROW($B$12),0,1,1)</f>
        <v>Advertising &amp; Marketing</v>
      </c>
      <c r="B14" s="22" t="str">
        <f ca="1">IF(A14&lt;&gt;OFFSET(Actual!$B$12,ROW($A14)-ROW($A$12),0,1,1),"ERR","")</f>
        <v/>
      </c>
      <c r="C14" s="23">
        <f ca="1">IF(ISNA(MATCH(Report!$I$1,Months,0))=TRUE,0,IF(MATCH(Report!$I$1,Months,0)&lt;=12,OFFSET(Forecast!$B$12,ROW($A14)-ROW($A$12),MATCH(Report!$I$1,Months,0),1,1),IF(MATCH(Report!$I$1,Months,0)&gt;=25,OFFSET(Forecast!$B$12,ROW($A14)-ROW($A$12),MATCH(Report!$I$1,Months,0)+2,1,1),OFFSET(Forecast!$B$12,ROW($A14)-ROW($A$12),MATCH(Report!$I$1,Months,0)+1,1,1))))</f>
        <v>25000</v>
      </c>
      <c r="D14" s="28">
        <f ca="1">IF(ISNA(MATCH(Report!$I$1,Months,0))=TRUE,0,IF(MATCH(Report!$I$1,Months,0)&lt;=12,OFFSET(Actual!$B$12,ROW($A14)-ROW($A$12),MATCH(Report!$I$1,Months,0),1,1),IF(MATCH(Report!$I$1,Months,0)&gt;=25,OFFSET(Actual!$B$12,ROW($A14)-ROW($A$12),MATCH(Report!$I$1,Months,0)+2,1,1),OFFSET(Actual!$B$12,ROW($A14)-ROW($A$12),MATCH(Report!$I$1,Months,0)+1,1,1))))</f>
        <v>18700</v>
      </c>
      <c r="E14" s="29">
        <f t="shared" ref="E14:E35" ca="1" si="2">C14-D14</f>
        <v>6300</v>
      </c>
      <c r="F14" s="30">
        <f t="shared" ca="1" si="0"/>
        <v>0.252</v>
      </c>
      <c r="G14" s="23">
        <f ca="1">IF(ISNA(MATCH(Report!$I$1,Months,0))=TRUE,0,IF(MATCH(Report!$I$1,Months,0)&lt;=12,SUM(OFFSET(Forecast!$B$12,ROW($A14)-ROW($A$12),MATCH(Report!$I$1,Months,0),1,-$I$2)),IF(MATCH(Report!$I$1,Months,0)&gt;=25,SUM(OFFSET(Forecast!$B$12,ROW($A14)-ROW($A$12),MATCH(Report!$I$1,Months,0)+2,1,-$I$2)),SUM(OFFSET(Forecast!$B$12,ROW($A14)-ROW($A$12),MATCH(Report!$I$1,Months,0)+1,1,-$I$2)))))</f>
        <v>55000</v>
      </c>
      <c r="H14" s="28">
        <f ca="1">IF(ISNA(MATCH(Report!$I$1,Months,0))=TRUE,0,IF(MATCH(Report!$I$1,Months,0)&lt;=12,SUM(OFFSET(Actual!$B$12,ROW($A14)-ROW($A$12),MATCH(Report!$I$1,Months,0),1,-$I$2)),IF(MATCH(Report!$I$1,Months,0)&gt;=25,SUM(OFFSET(Actual!$B$12,ROW($A14)-ROW($A$12),MATCH(Report!$I$1,Months,0)+2,1,-$I$2)),SUM(OFFSET(Actual!$B$12,ROW($A14)-ROW($A$12),MATCH(Report!$I$1,Months,0)+1,1,-$I$2)))))</f>
        <v>46018</v>
      </c>
      <c r="I14" s="29">
        <f t="shared" ref="I14:I35" ca="1" si="3">G14-H14</f>
        <v>8982</v>
      </c>
      <c r="J14" s="30">
        <f t="shared" ca="1" si="1"/>
        <v>0.1633090909090909</v>
      </c>
    </row>
    <row r="15" spans="1:10" ht="15" customHeight="1" x14ac:dyDescent="0.3">
      <c r="A15" s="3" t="str">
        <f ca="1">OFFSET(Forecast!$B$12,ROW($B15)-ROW($B$12),0,1,1)</f>
        <v>Bank Charges</v>
      </c>
      <c r="B15" s="22" t="str">
        <f ca="1">IF(A15&lt;&gt;OFFSET(Actual!$B$12,ROW($A15)-ROW($A$12),0,1,1),"ERR","")</f>
        <v/>
      </c>
      <c r="C15" s="23">
        <f ca="1">IF(ISNA(MATCH(Report!$I$1,Months,0))=TRUE,0,IF(MATCH(Report!$I$1,Months,0)&lt;=12,OFFSET(Forecast!$B$12,ROW($A15)-ROW($A$12),MATCH(Report!$I$1,Months,0),1,1),IF(MATCH(Report!$I$1,Months,0)&gt;=25,OFFSET(Forecast!$B$12,ROW($A15)-ROW($A$12),MATCH(Report!$I$1,Months,0)+2,1,1),OFFSET(Forecast!$B$12,ROW($A15)-ROW($A$12),MATCH(Report!$I$1,Months,0)+1,1,1))))</f>
        <v>250</v>
      </c>
      <c r="D15" s="28">
        <f ca="1">IF(ISNA(MATCH(Report!$I$1,Months,0))=TRUE,0,IF(MATCH(Report!$I$1,Months,0)&lt;=12,OFFSET(Actual!$B$12,ROW($A15)-ROW($A$12),MATCH(Report!$I$1,Months,0),1,1),IF(MATCH(Report!$I$1,Months,0)&gt;=25,OFFSET(Actual!$B$12,ROW($A15)-ROW($A$12),MATCH(Report!$I$1,Months,0)+2,1,1),OFFSET(Actual!$B$12,ROW($A15)-ROW($A$12),MATCH(Report!$I$1,Months,0)+1,1,1))))</f>
        <v>180</v>
      </c>
      <c r="E15" s="29">
        <f t="shared" ca="1" si="2"/>
        <v>70</v>
      </c>
      <c r="F15" s="30">
        <f t="shared" ca="1" si="0"/>
        <v>0.28000000000000003</v>
      </c>
      <c r="G15" s="23">
        <f ca="1">IF(ISNA(MATCH(Report!$I$1,Months,0))=TRUE,0,IF(MATCH(Report!$I$1,Months,0)&lt;=12,SUM(OFFSET(Forecast!$B$12,ROW($A15)-ROW($A$12),MATCH(Report!$I$1,Months,0),1,-$I$2)),IF(MATCH(Report!$I$1,Months,0)&gt;=25,SUM(OFFSET(Forecast!$B$12,ROW($A15)-ROW($A$12),MATCH(Report!$I$1,Months,0)+2,1,-$I$2)),SUM(OFFSET(Forecast!$B$12,ROW($A15)-ROW($A$12),MATCH(Report!$I$1,Months,0)+1,1,-$I$2)))))</f>
        <v>1500</v>
      </c>
      <c r="H15" s="28">
        <f ca="1">IF(ISNA(MATCH(Report!$I$1,Months,0))=TRUE,0,IF(MATCH(Report!$I$1,Months,0)&lt;=12,SUM(OFFSET(Actual!$B$12,ROW($A15)-ROW($A$12),MATCH(Report!$I$1,Months,0),1,-$I$2)),IF(MATCH(Report!$I$1,Months,0)&gt;=25,SUM(OFFSET(Actual!$B$12,ROW($A15)-ROW($A$12),MATCH(Report!$I$1,Months,0)+2,1,-$I$2)),SUM(OFFSET(Actual!$B$12,ROW($A15)-ROW($A$12),MATCH(Report!$I$1,Months,0)+1,1,-$I$2)))))</f>
        <v>1080</v>
      </c>
      <c r="I15" s="29">
        <f t="shared" ca="1" si="3"/>
        <v>420</v>
      </c>
      <c r="J15" s="30">
        <f t="shared" ca="1" si="1"/>
        <v>0.28000000000000003</v>
      </c>
    </row>
    <row r="16" spans="1:10" ht="15" customHeight="1" x14ac:dyDescent="0.3">
      <c r="A16" s="3" t="str">
        <f ca="1">OFFSET(Forecast!$B$12,ROW($B16)-ROW($B$12),0,1,1)</f>
        <v>Cleaning Expenses</v>
      </c>
      <c r="B16" s="22" t="str">
        <f ca="1">IF(A16&lt;&gt;OFFSET(Actual!$B$12,ROW($A16)-ROW($A$12),0,1,1),"ERR","")</f>
        <v/>
      </c>
      <c r="C16" s="23">
        <f ca="1">IF(ISNA(MATCH(Report!$I$1,Months,0))=TRUE,0,IF(MATCH(Report!$I$1,Months,0)&lt;=12,OFFSET(Forecast!$B$12,ROW($A16)-ROW($A$12),MATCH(Report!$I$1,Months,0),1,1),IF(MATCH(Report!$I$1,Months,0)&gt;=25,OFFSET(Forecast!$B$12,ROW($A16)-ROW($A$12),MATCH(Report!$I$1,Months,0)+2,1,1),OFFSET(Forecast!$B$12,ROW($A16)-ROW($A$12),MATCH(Report!$I$1,Months,0)+1,1,1))))</f>
        <v>860</v>
      </c>
      <c r="D16" s="28">
        <f ca="1">IF(ISNA(MATCH(Report!$I$1,Months,0))=TRUE,0,IF(MATCH(Report!$I$1,Months,0)&lt;=12,OFFSET(Actual!$B$12,ROW($A16)-ROW($A$12),MATCH(Report!$I$1,Months,0),1,1),IF(MATCH(Report!$I$1,Months,0)&gt;=25,OFFSET(Actual!$B$12,ROW($A16)-ROW($A$12),MATCH(Report!$I$1,Months,0)+2,1,1),OFFSET(Actual!$B$12,ROW($A16)-ROW($A$12),MATCH(Report!$I$1,Months,0)+1,1,1))))</f>
        <v>0</v>
      </c>
      <c r="E16" s="29">
        <f t="shared" ca="1" si="2"/>
        <v>860</v>
      </c>
      <c r="F16" s="30">
        <f t="shared" ca="1" si="0"/>
        <v>1</v>
      </c>
      <c r="G16" s="23">
        <f ca="1">IF(ISNA(MATCH(Report!$I$1,Months,0))=TRUE,0,IF(MATCH(Report!$I$1,Months,0)&lt;=12,SUM(OFFSET(Forecast!$B$12,ROW($A16)-ROW($A$12),MATCH(Report!$I$1,Months,0),1,-$I$2)),IF(MATCH(Report!$I$1,Months,0)&gt;=25,SUM(OFFSET(Forecast!$B$12,ROW($A16)-ROW($A$12),MATCH(Report!$I$1,Months,0)+2,1,-$I$2)),SUM(OFFSET(Forecast!$B$12,ROW($A16)-ROW($A$12),MATCH(Report!$I$1,Months,0)+1,1,-$I$2)))))</f>
        <v>4260</v>
      </c>
      <c r="H16" s="28">
        <f ca="1">IF(ISNA(MATCH(Report!$I$1,Months,0))=TRUE,0,IF(MATCH(Report!$I$1,Months,0)&lt;=12,SUM(OFFSET(Actual!$B$12,ROW($A16)-ROW($A$12),MATCH(Report!$I$1,Months,0),1,-$I$2)),IF(MATCH(Report!$I$1,Months,0)&gt;=25,SUM(OFFSET(Actual!$B$12,ROW($A16)-ROW($A$12),MATCH(Report!$I$1,Months,0)+2,1,-$I$2)),SUM(OFFSET(Actual!$B$12,ROW($A16)-ROW($A$12),MATCH(Report!$I$1,Months,0)+1,1,-$I$2)))))</f>
        <v>1500</v>
      </c>
      <c r="I16" s="29">
        <f t="shared" ca="1" si="3"/>
        <v>2760</v>
      </c>
      <c r="J16" s="30">
        <f t="shared" ca="1" si="1"/>
        <v>0.647887323943662</v>
      </c>
    </row>
    <row r="17" spans="1:10" ht="15" customHeight="1" x14ac:dyDescent="0.3">
      <c r="A17" s="3" t="str">
        <f ca="1">OFFSET(Forecast!$B$12,ROW($B17)-ROW($B$12),0,1,1)</f>
        <v>Computer Expenses</v>
      </c>
      <c r="B17" s="22" t="str">
        <f ca="1">IF(A17&lt;&gt;OFFSET(Actual!$B$12,ROW($A17)-ROW($A$12),0,1,1),"ERR","")</f>
        <v/>
      </c>
      <c r="C17" s="23">
        <f ca="1">IF(ISNA(MATCH(Report!$I$1,Months,0))=TRUE,0,IF(MATCH(Report!$I$1,Months,0)&lt;=12,OFFSET(Forecast!$B$12,ROW($A17)-ROW($A$12),MATCH(Report!$I$1,Months,0),1,1),IF(MATCH(Report!$I$1,Months,0)&gt;=25,OFFSET(Forecast!$B$12,ROW($A17)-ROW($A$12),MATCH(Report!$I$1,Months,0)+2,1,1),OFFSET(Forecast!$B$12,ROW($A17)-ROW($A$12),MATCH(Report!$I$1,Months,0)+1,1,1))))</f>
        <v>0</v>
      </c>
      <c r="D17" s="28">
        <f ca="1">IF(ISNA(MATCH(Report!$I$1,Months,0))=TRUE,0,IF(MATCH(Report!$I$1,Months,0)&lt;=12,OFFSET(Actual!$B$12,ROW($A17)-ROW($A$12),MATCH(Report!$I$1,Months,0),1,1),IF(MATCH(Report!$I$1,Months,0)&gt;=25,OFFSET(Actual!$B$12,ROW($A17)-ROW($A$12),MATCH(Report!$I$1,Months,0)+2,1,1),OFFSET(Actual!$B$12,ROW($A17)-ROW($A$12),MATCH(Report!$I$1,Months,0)+1,1,1))))</f>
        <v>0</v>
      </c>
      <c r="E17" s="29">
        <f t="shared" ca="1" si="2"/>
        <v>0</v>
      </c>
      <c r="F17" s="30">
        <f t="shared" ca="1" si="0"/>
        <v>0</v>
      </c>
      <c r="G17" s="23">
        <f ca="1">IF(ISNA(MATCH(Report!$I$1,Months,0))=TRUE,0,IF(MATCH(Report!$I$1,Months,0)&lt;=12,SUM(OFFSET(Forecast!$B$12,ROW($A17)-ROW($A$12),MATCH(Report!$I$1,Months,0),1,-$I$2)),IF(MATCH(Report!$I$1,Months,0)&gt;=25,SUM(OFFSET(Forecast!$B$12,ROW($A17)-ROW($A$12),MATCH(Report!$I$1,Months,0)+2,1,-$I$2)),SUM(OFFSET(Forecast!$B$12,ROW($A17)-ROW($A$12),MATCH(Report!$I$1,Months,0)+1,1,-$I$2)))))</f>
        <v>3800</v>
      </c>
      <c r="H17" s="28">
        <f ca="1">IF(ISNA(MATCH(Report!$I$1,Months,0))=TRUE,0,IF(MATCH(Report!$I$1,Months,0)&lt;=12,SUM(OFFSET(Actual!$B$12,ROW($A17)-ROW($A$12),MATCH(Report!$I$1,Months,0),1,-$I$2)),IF(MATCH(Report!$I$1,Months,0)&gt;=25,SUM(OFFSET(Actual!$B$12,ROW($A17)-ROW($A$12),MATCH(Report!$I$1,Months,0)+2,1,-$I$2)),SUM(OFFSET(Actual!$B$12,ROW($A17)-ROW($A$12),MATCH(Report!$I$1,Months,0)+1,1,-$I$2)))))</f>
        <v>5200</v>
      </c>
      <c r="I17" s="29">
        <f t="shared" ca="1" si="3"/>
        <v>-1400</v>
      </c>
      <c r="J17" s="30">
        <f t="shared" ca="1" si="1"/>
        <v>-0.36842105263157893</v>
      </c>
    </row>
    <row r="18" spans="1:10" ht="15" customHeight="1" x14ac:dyDescent="0.3">
      <c r="A18" s="3" t="str">
        <f ca="1">OFFSET(Forecast!$B$12,ROW($B18)-ROW($B$12),0,1,1)</f>
        <v>Consumables</v>
      </c>
      <c r="B18" s="22" t="str">
        <f ca="1">IF(A18&lt;&gt;OFFSET(Actual!$B$12,ROW($A18)-ROW($A$12),0,1,1),"ERR","")</f>
        <v/>
      </c>
      <c r="C18" s="23">
        <f ca="1">IF(ISNA(MATCH(Report!$I$1,Months,0))=TRUE,0,IF(MATCH(Report!$I$1,Months,0)&lt;=12,OFFSET(Forecast!$B$12,ROW($A18)-ROW($A$12),MATCH(Report!$I$1,Months,0),1,1),IF(MATCH(Report!$I$1,Months,0)&gt;=25,OFFSET(Forecast!$B$12,ROW($A18)-ROW($A$12),MATCH(Report!$I$1,Months,0)+2,1,1),OFFSET(Forecast!$B$12,ROW($A18)-ROW($A$12),MATCH(Report!$I$1,Months,0)+1,1,1))))</f>
        <v>780</v>
      </c>
      <c r="D18" s="28">
        <f ca="1">IF(ISNA(MATCH(Report!$I$1,Months,0))=TRUE,0,IF(MATCH(Report!$I$1,Months,0)&lt;=12,OFFSET(Actual!$B$12,ROW($A18)-ROW($A$12),MATCH(Report!$I$1,Months,0),1,1),IF(MATCH(Report!$I$1,Months,0)&gt;=25,OFFSET(Actual!$B$12,ROW($A18)-ROW($A$12),MATCH(Report!$I$1,Months,0)+2,1,1),OFFSET(Actual!$B$12,ROW($A18)-ROW($A$12),MATCH(Report!$I$1,Months,0)+1,1,1))))</f>
        <v>89</v>
      </c>
      <c r="E18" s="29">
        <f t="shared" ca="1" si="2"/>
        <v>691</v>
      </c>
      <c r="F18" s="30">
        <f t="shared" ca="1" si="0"/>
        <v>0.88589743589743586</v>
      </c>
      <c r="G18" s="23">
        <f ca="1">IF(ISNA(MATCH(Report!$I$1,Months,0))=TRUE,0,IF(MATCH(Report!$I$1,Months,0)&lt;=12,SUM(OFFSET(Forecast!$B$12,ROW($A18)-ROW($A$12),MATCH(Report!$I$1,Months,0),1,-$I$2)),IF(MATCH(Report!$I$1,Months,0)&gt;=25,SUM(OFFSET(Forecast!$B$12,ROW($A18)-ROW($A$12),MATCH(Report!$I$1,Months,0)+2,1,-$I$2)),SUM(OFFSET(Forecast!$B$12,ROW($A18)-ROW($A$12),MATCH(Report!$I$1,Months,0)+1,1,-$I$2)))))</f>
        <v>4330</v>
      </c>
      <c r="H18" s="28">
        <f ca="1">IF(ISNA(MATCH(Report!$I$1,Months,0))=TRUE,0,IF(MATCH(Report!$I$1,Months,0)&lt;=12,SUM(OFFSET(Actual!$B$12,ROW($A18)-ROW($A$12),MATCH(Report!$I$1,Months,0),1,-$I$2)),IF(MATCH(Report!$I$1,Months,0)&gt;=25,SUM(OFFSET(Actual!$B$12,ROW($A18)-ROW($A$12),MATCH(Report!$I$1,Months,0)+2,1,-$I$2)),SUM(OFFSET(Actual!$B$12,ROW($A18)-ROW($A$12),MATCH(Report!$I$1,Months,0)+1,1,-$I$2)))))</f>
        <v>1408</v>
      </c>
      <c r="I18" s="29">
        <f t="shared" ca="1" si="3"/>
        <v>2922</v>
      </c>
      <c r="J18" s="30">
        <f t="shared" ca="1" si="1"/>
        <v>0.67482678983833722</v>
      </c>
    </row>
    <row r="19" spans="1:10" ht="15" customHeight="1" x14ac:dyDescent="0.3">
      <c r="A19" s="3" t="str">
        <f ca="1">OFFSET(Forecast!$B$12,ROW($B19)-ROW($B$12),0,1,1)</f>
        <v>Electricity &amp; Water</v>
      </c>
      <c r="B19" s="22" t="str">
        <f ca="1">IF(A19&lt;&gt;OFFSET(Actual!$B$12,ROW($A19)-ROW($A$12),0,1,1),"ERR","")</f>
        <v/>
      </c>
      <c r="C19" s="23">
        <f ca="1">IF(ISNA(MATCH(Report!$I$1,Months,0))=TRUE,0,IF(MATCH(Report!$I$1,Months,0)&lt;=12,OFFSET(Forecast!$B$12,ROW($A19)-ROW($A$12),MATCH(Report!$I$1,Months,0),1,1),IF(MATCH(Report!$I$1,Months,0)&gt;=25,OFFSET(Forecast!$B$12,ROW($A19)-ROW($A$12),MATCH(Report!$I$1,Months,0)+2,1,1),OFFSET(Forecast!$B$12,ROW($A19)-ROW($A$12),MATCH(Report!$I$1,Months,0)+1,1,1))))</f>
        <v>1200</v>
      </c>
      <c r="D19" s="28">
        <f ca="1">IF(ISNA(MATCH(Report!$I$1,Months,0))=TRUE,0,IF(MATCH(Report!$I$1,Months,0)&lt;=12,OFFSET(Actual!$B$12,ROW($A19)-ROW($A$12),MATCH(Report!$I$1,Months,0),1,1),IF(MATCH(Report!$I$1,Months,0)&gt;=25,OFFSET(Actual!$B$12,ROW($A19)-ROW($A$12),MATCH(Report!$I$1,Months,0)+2,1,1),OFFSET(Actual!$B$12,ROW($A19)-ROW($A$12),MATCH(Report!$I$1,Months,0)+1,1,1))))</f>
        <v>1420</v>
      </c>
      <c r="E19" s="29">
        <f t="shared" ca="1" si="2"/>
        <v>-220</v>
      </c>
      <c r="F19" s="30">
        <f t="shared" ca="1" si="0"/>
        <v>-0.18333333333333332</v>
      </c>
      <c r="G19" s="23">
        <f ca="1">IF(ISNA(MATCH(Report!$I$1,Months,0))=TRUE,0,IF(MATCH(Report!$I$1,Months,0)&lt;=12,SUM(OFFSET(Forecast!$B$12,ROW($A19)-ROW($A$12),MATCH(Report!$I$1,Months,0),1,-$I$2)),IF(MATCH(Report!$I$1,Months,0)&gt;=25,SUM(OFFSET(Forecast!$B$12,ROW($A19)-ROW($A$12),MATCH(Report!$I$1,Months,0)+2,1,-$I$2)),SUM(OFFSET(Forecast!$B$12,ROW($A19)-ROW($A$12),MATCH(Report!$I$1,Months,0)+1,1,-$I$2)))))</f>
        <v>6200</v>
      </c>
      <c r="H19" s="28">
        <f ca="1">IF(ISNA(MATCH(Report!$I$1,Months,0))=TRUE,0,IF(MATCH(Report!$I$1,Months,0)&lt;=12,SUM(OFFSET(Actual!$B$12,ROW($A19)-ROW($A$12),MATCH(Report!$I$1,Months,0),1,-$I$2)),IF(MATCH(Report!$I$1,Months,0)&gt;=25,SUM(OFFSET(Actual!$B$12,ROW($A19)-ROW($A$12),MATCH(Report!$I$1,Months,0)+2,1,-$I$2)),SUM(OFFSET(Actual!$B$12,ROW($A19)-ROW($A$12),MATCH(Report!$I$1,Months,0)+1,1,-$I$2)))))</f>
        <v>8370</v>
      </c>
      <c r="I19" s="29">
        <f t="shared" ca="1" si="3"/>
        <v>-2170</v>
      </c>
      <c r="J19" s="30">
        <f t="shared" ca="1" si="1"/>
        <v>-0.35</v>
      </c>
    </row>
    <row r="20" spans="1:10" ht="15" customHeight="1" x14ac:dyDescent="0.3">
      <c r="A20" s="3" t="str">
        <f ca="1">OFFSET(Forecast!$B$12,ROW($B20)-ROW($B$12),0,1,1)</f>
        <v xml:space="preserve">Entertainment </v>
      </c>
      <c r="B20" s="22" t="str">
        <f ca="1">IF(A20&lt;&gt;OFFSET(Actual!$B$12,ROW($A20)-ROW($A$12),0,1,1),"ERR","")</f>
        <v/>
      </c>
      <c r="C20" s="23">
        <f ca="1">IF(ISNA(MATCH(Report!$I$1,Months,0))=TRUE,0,IF(MATCH(Report!$I$1,Months,0)&lt;=12,OFFSET(Forecast!$B$12,ROW($A20)-ROW($A$12),MATCH(Report!$I$1,Months,0),1,1),IF(MATCH(Report!$I$1,Months,0)&gt;=25,OFFSET(Forecast!$B$12,ROW($A20)-ROW($A$12),MATCH(Report!$I$1,Months,0)+2,1,1),OFFSET(Forecast!$B$12,ROW($A20)-ROW($A$12),MATCH(Report!$I$1,Months,0)+1,1,1))))</f>
        <v>0</v>
      </c>
      <c r="D20" s="28">
        <f ca="1">IF(ISNA(MATCH(Report!$I$1,Months,0))=TRUE,0,IF(MATCH(Report!$I$1,Months,0)&lt;=12,OFFSET(Actual!$B$12,ROW($A20)-ROW($A$12),MATCH(Report!$I$1,Months,0),1,1),IF(MATCH(Report!$I$1,Months,0)&gt;=25,OFFSET(Actual!$B$12,ROW($A20)-ROW($A$12),MATCH(Report!$I$1,Months,0)+2,1,1),OFFSET(Actual!$B$12,ROW($A20)-ROW($A$12),MATCH(Report!$I$1,Months,0)+1,1,1))))</f>
        <v>0</v>
      </c>
      <c r="E20" s="29">
        <f t="shared" ca="1" si="2"/>
        <v>0</v>
      </c>
      <c r="F20" s="30">
        <f t="shared" ca="1" si="0"/>
        <v>0</v>
      </c>
      <c r="G20" s="23">
        <f ca="1">IF(ISNA(MATCH(Report!$I$1,Months,0))=TRUE,0,IF(MATCH(Report!$I$1,Months,0)&lt;=12,SUM(OFFSET(Forecast!$B$12,ROW($A20)-ROW($A$12),MATCH(Report!$I$1,Months,0),1,-$I$2)),IF(MATCH(Report!$I$1,Months,0)&gt;=25,SUM(OFFSET(Forecast!$B$12,ROW($A20)-ROW($A$12),MATCH(Report!$I$1,Months,0)+2,1,-$I$2)),SUM(OFFSET(Forecast!$B$12,ROW($A20)-ROW($A$12),MATCH(Report!$I$1,Months,0)+1,1,-$I$2)))))</f>
        <v>0</v>
      </c>
      <c r="H20" s="28">
        <f ca="1">IF(ISNA(MATCH(Report!$I$1,Months,0))=TRUE,0,IF(MATCH(Report!$I$1,Months,0)&lt;=12,SUM(OFFSET(Actual!$B$12,ROW($A20)-ROW($A$12),MATCH(Report!$I$1,Months,0),1,-$I$2)),IF(MATCH(Report!$I$1,Months,0)&gt;=25,SUM(OFFSET(Actual!$B$12,ROW($A20)-ROW($A$12),MATCH(Report!$I$1,Months,0)+2,1,-$I$2)),SUM(OFFSET(Actual!$B$12,ROW($A20)-ROW($A$12),MATCH(Report!$I$1,Months,0)+1,1,-$I$2)))))</f>
        <v>0</v>
      </c>
      <c r="I20" s="29">
        <f t="shared" ca="1" si="3"/>
        <v>0</v>
      </c>
      <c r="J20" s="30">
        <f t="shared" ca="1" si="1"/>
        <v>0</v>
      </c>
    </row>
    <row r="21" spans="1:10" ht="15" customHeight="1" x14ac:dyDescent="0.3">
      <c r="A21" s="3" t="str">
        <f ca="1">OFFSET(Forecast!$B$12,ROW($B21)-ROW($B$12),0,1,1)</f>
        <v>Equipment Hire</v>
      </c>
      <c r="B21" s="22" t="str">
        <f ca="1">IF(A21&lt;&gt;OFFSET(Actual!$B$12,ROW($A21)-ROW($A$12),0,1,1),"ERR","")</f>
        <v/>
      </c>
      <c r="C21" s="23">
        <f ca="1">IF(ISNA(MATCH(Report!$I$1,Months,0))=TRUE,0,IF(MATCH(Report!$I$1,Months,0)&lt;=12,OFFSET(Forecast!$B$12,ROW($A21)-ROW($A$12),MATCH(Report!$I$1,Months,0),1,1),IF(MATCH(Report!$I$1,Months,0)&gt;=25,OFFSET(Forecast!$B$12,ROW($A21)-ROW($A$12),MATCH(Report!$I$1,Months,0)+2,1,1),OFFSET(Forecast!$B$12,ROW($A21)-ROW($A$12),MATCH(Report!$I$1,Months,0)+1,1,1))))</f>
        <v>0</v>
      </c>
      <c r="D21" s="28">
        <f ca="1">IF(ISNA(MATCH(Report!$I$1,Months,0))=TRUE,0,IF(MATCH(Report!$I$1,Months,0)&lt;=12,OFFSET(Actual!$B$12,ROW($A21)-ROW($A$12),MATCH(Report!$I$1,Months,0),1,1),IF(MATCH(Report!$I$1,Months,0)&gt;=25,OFFSET(Actual!$B$12,ROW($A21)-ROW($A$12),MATCH(Report!$I$1,Months,0)+2,1,1),OFFSET(Actual!$B$12,ROW($A21)-ROW($A$12),MATCH(Report!$I$1,Months,0)+1,1,1))))</f>
        <v>0</v>
      </c>
      <c r="E21" s="29">
        <f t="shared" ca="1" si="2"/>
        <v>0</v>
      </c>
      <c r="F21" s="30">
        <f t="shared" ca="1" si="0"/>
        <v>0</v>
      </c>
      <c r="G21" s="23">
        <f ca="1">IF(ISNA(MATCH(Report!$I$1,Months,0))=TRUE,0,IF(MATCH(Report!$I$1,Months,0)&lt;=12,SUM(OFFSET(Forecast!$B$12,ROW($A21)-ROW($A$12),MATCH(Report!$I$1,Months,0),1,-$I$2)),IF(MATCH(Report!$I$1,Months,0)&gt;=25,SUM(OFFSET(Forecast!$B$12,ROW($A21)-ROW($A$12),MATCH(Report!$I$1,Months,0)+2,1,-$I$2)),SUM(OFFSET(Forecast!$B$12,ROW($A21)-ROW($A$12),MATCH(Report!$I$1,Months,0)+1,1,-$I$2)))))</f>
        <v>18000</v>
      </c>
      <c r="H21" s="28">
        <f ca="1">IF(ISNA(MATCH(Report!$I$1,Months,0))=TRUE,0,IF(MATCH(Report!$I$1,Months,0)&lt;=12,SUM(OFFSET(Actual!$B$12,ROW($A21)-ROW($A$12),MATCH(Report!$I$1,Months,0),1,-$I$2)),IF(MATCH(Report!$I$1,Months,0)&gt;=25,SUM(OFFSET(Actual!$B$12,ROW($A21)-ROW($A$12),MATCH(Report!$I$1,Months,0)+2,1,-$I$2)),SUM(OFFSET(Actual!$B$12,ROW($A21)-ROW($A$12),MATCH(Report!$I$1,Months,0)+1,1,-$I$2)))))</f>
        <v>14400</v>
      </c>
      <c r="I21" s="29">
        <f t="shared" ca="1" si="3"/>
        <v>3600</v>
      </c>
      <c r="J21" s="30">
        <f t="shared" ca="1" si="1"/>
        <v>0.2</v>
      </c>
    </row>
    <row r="22" spans="1:10" ht="15" customHeight="1" x14ac:dyDescent="0.3">
      <c r="A22" s="3" t="str">
        <f ca="1">OFFSET(Forecast!$B$12,ROW($B22)-ROW($B$12),0,1,1)</f>
        <v>Insurance</v>
      </c>
      <c r="B22" s="22" t="str">
        <f ca="1">IF(A22&lt;&gt;OFFSET(Actual!$B$12,ROW($A22)-ROW($A$12),0,1,1),"ERR","")</f>
        <v/>
      </c>
      <c r="C22" s="23">
        <f ca="1">IF(ISNA(MATCH(Report!$I$1,Months,0))=TRUE,0,IF(MATCH(Report!$I$1,Months,0)&lt;=12,OFFSET(Forecast!$B$12,ROW($A22)-ROW($A$12),MATCH(Report!$I$1,Months,0),1,1),IF(MATCH(Report!$I$1,Months,0)&gt;=25,OFFSET(Forecast!$B$12,ROW($A22)-ROW($A$12),MATCH(Report!$I$1,Months,0)+2,1,1),OFFSET(Forecast!$B$12,ROW($A22)-ROW($A$12),MATCH(Report!$I$1,Months,0)+1,1,1))))</f>
        <v>2000</v>
      </c>
      <c r="D22" s="28">
        <f ca="1">IF(ISNA(MATCH(Report!$I$1,Months,0))=TRUE,0,IF(MATCH(Report!$I$1,Months,0)&lt;=12,OFFSET(Actual!$B$12,ROW($A22)-ROW($A$12),MATCH(Report!$I$1,Months,0),1,1),IF(MATCH(Report!$I$1,Months,0)&gt;=25,OFFSET(Actual!$B$12,ROW($A22)-ROW($A$12),MATCH(Report!$I$1,Months,0)+2,1,1),OFFSET(Actual!$B$12,ROW($A22)-ROW($A$12),MATCH(Report!$I$1,Months,0)+1,1,1))))</f>
        <v>1950</v>
      </c>
      <c r="E22" s="29">
        <f t="shared" ca="1" si="2"/>
        <v>50</v>
      </c>
      <c r="F22" s="30">
        <f t="shared" ca="1" si="0"/>
        <v>2.5000000000000001E-2</v>
      </c>
      <c r="G22" s="23">
        <f ca="1">IF(ISNA(MATCH(Report!$I$1,Months,0))=TRUE,0,IF(MATCH(Report!$I$1,Months,0)&lt;=12,SUM(OFFSET(Forecast!$B$12,ROW($A22)-ROW($A$12),MATCH(Report!$I$1,Months,0),1,-$I$2)),IF(MATCH(Report!$I$1,Months,0)&gt;=25,SUM(OFFSET(Forecast!$B$12,ROW($A22)-ROW($A$12),MATCH(Report!$I$1,Months,0)+2,1,-$I$2)),SUM(OFFSET(Forecast!$B$12,ROW($A22)-ROW($A$12),MATCH(Report!$I$1,Months,0)+1,1,-$I$2)))))</f>
        <v>12000</v>
      </c>
      <c r="H22" s="28">
        <f ca="1">IF(ISNA(MATCH(Report!$I$1,Months,0))=TRUE,0,IF(MATCH(Report!$I$1,Months,0)&lt;=12,SUM(OFFSET(Actual!$B$12,ROW($A22)-ROW($A$12),MATCH(Report!$I$1,Months,0),1,-$I$2)),IF(MATCH(Report!$I$1,Months,0)&gt;=25,SUM(OFFSET(Actual!$B$12,ROW($A22)-ROW($A$12),MATCH(Report!$I$1,Months,0)+2,1,-$I$2)),SUM(OFFSET(Actual!$B$12,ROW($A22)-ROW($A$12),MATCH(Report!$I$1,Months,0)+1,1,-$I$2)))))</f>
        <v>11700</v>
      </c>
      <c r="I22" s="29">
        <f t="shared" ca="1" si="3"/>
        <v>300</v>
      </c>
      <c r="J22" s="30">
        <f t="shared" ca="1" si="1"/>
        <v>2.5000000000000001E-2</v>
      </c>
    </row>
    <row r="23" spans="1:10" ht="15" customHeight="1" x14ac:dyDescent="0.3">
      <c r="A23" s="3" t="str">
        <f ca="1">OFFSET(Forecast!$B$12,ROW($B23)-ROW($B$12),0,1,1)</f>
        <v>Legal Fees</v>
      </c>
      <c r="B23" s="22" t="str">
        <f ca="1">IF(A23&lt;&gt;OFFSET(Actual!$B$12,ROW($A23)-ROW($A$12),0,1,1),"ERR","")</f>
        <v/>
      </c>
      <c r="C23" s="23">
        <f ca="1">IF(ISNA(MATCH(Report!$I$1,Months,0))=TRUE,0,IF(MATCH(Report!$I$1,Months,0)&lt;=12,OFFSET(Forecast!$B$12,ROW($A23)-ROW($A$12),MATCH(Report!$I$1,Months,0),1,1),IF(MATCH(Report!$I$1,Months,0)&gt;=25,OFFSET(Forecast!$B$12,ROW($A23)-ROW($A$12),MATCH(Report!$I$1,Months,0)+2,1,1),OFFSET(Forecast!$B$12,ROW($A23)-ROW($A$12),MATCH(Report!$I$1,Months,0)+1,1,1))))</f>
        <v>0</v>
      </c>
      <c r="D23" s="28">
        <f ca="1">IF(ISNA(MATCH(Report!$I$1,Months,0))=TRUE,0,IF(MATCH(Report!$I$1,Months,0)&lt;=12,OFFSET(Actual!$B$12,ROW($A23)-ROW($A$12),MATCH(Report!$I$1,Months,0),1,1),IF(MATCH(Report!$I$1,Months,0)&gt;=25,OFFSET(Actual!$B$12,ROW($A23)-ROW($A$12),MATCH(Report!$I$1,Months,0)+2,1,1),OFFSET(Actual!$B$12,ROW($A23)-ROW($A$12),MATCH(Report!$I$1,Months,0)+1,1,1))))</f>
        <v>0</v>
      </c>
      <c r="E23" s="29">
        <f t="shared" ca="1" si="2"/>
        <v>0</v>
      </c>
      <c r="F23" s="30">
        <f t="shared" ca="1" si="0"/>
        <v>0</v>
      </c>
      <c r="G23" s="23">
        <f ca="1">IF(ISNA(MATCH(Report!$I$1,Months,0))=TRUE,0,IF(MATCH(Report!$I$1,Months,0)&lt;=12,SUM(OFFSET(Forecast!$B$12,ROW($A23)-ROW($A$12),MATCH(Report!$I$1,Months,0),1,-$I$2)),IF(MATCH(Report!$I$1,Months,0)&gt;=25,SUM(OFFSET(Forecast!$B$12,ROW($A23)-ROW($A$12),MATCH(Report!$I$1,Months,0)+2,1,-$I$2)),SUM(OFFSET(Forecast!$B$12,ROW($A23)-ROW($A$12),MATCH(Report!$I$1,Months,0)+1,1,-$I$2)))))</f>
        <v>74000</v>
      </c>
      <c r="H23" s="28">
        <f ca="1">IF(ISNA(MATCH(Report!$I$1,Months,0))=TRUE,0,IF(MATCH(Report!$I$1,Months,0)&lt;=12,SUM(OFFSET(Actual!$B$12,ROW($A23)-ROW($A$12),MATCH(Report!$I$1,Months,0),1,-$I$2)),IF(MATCH(Report!$I$1,Months,0)&gt;=25,SUM(OFFSET(Actual!$B$12,ROW($A23)-ROW($A$12),MATCH(Report!$I$1,Months,0)+2,1,-$I$2)),SUM(OFFSET(Actual!$B$12,ROW($A23)-ROW($A$12),MATCH(Report!$I$1,Months,0)+1,1,-$I$2)))))</f>
        <v>63540</v>
      </c>
      <c r="I23" s="29">
        <f t="shared" ca="1" si="3"/>
        <v>10460</v>
      </c>
      <c r="J23" s="30">
        <f t="shared" ca="1" si="1"/>
        <v>0.14135135135135135</v>
      </c>
    </row>
    <row r="24" spans="1:10" ht="15" customHeight="1" x14ac:dyDescent="0.3">
      <c r="A24" s="3" t="str">
        <f ca="1">OFFSET(Forecast!$B$12,ROW($B24)-ROW($B$12),0,1,1)</f>
        <v>Motor Vehicle Expenses</v>
      </c>
      <c r="B24" s="22" t="str">
        <f ca="1">IF(A24&lt;&gt;OFFSET(Actual!$B$12,ROW($A24)-ROW($A$12),0,1,1),"ERR","")</f>
        <v/>
      </c>
      <c r="C24" s="23">
        <f ca="1">IF(ISNA(MATCH(Report!$I$1,Months,0))=TRUE,0,IF(MATCH(Report!$I$1,Months,0)&lt;=12,OFFSET(Forecast!$B$12,ROW($A24)-ROW($A$12),MATCH(Report!$I$1,Months,0),1,1),IF(MATCH(Report!$I$1,Months,0)&gt;=25,OFFSET(Forecast!$B$12,ROW($A24)-ROW($A$12),MATCH(Report!$I$1,Months,0)+2,1,1),OFFSET(Forecast!$B$12,ROW($A24)-ROW($A$12),MATCH(Report!$I$1,Months,0)+1,1,1))))</f>
        <v>0</v>
      </c>
      <c r="D24" s="28">
        <f ca="1">IF(ISNA(MATCH(Report!$I$1,Months,0))=TRUE,0,IF(MATCH(Report!$I$1,Months,0)&lt;=12,OFFSET(Actual!$B$12,ROW($A24)-ROW($A$12),MATCH(Report!$I$1,Months,0),1,1),IF(MATCH(Report!$I$1,Months,0)&gt;=25,OFFSET(Actual!$B$12,ROW($A24)-ROW($A$12),MATCH(Report!$I$1,Months,0)+2,1,1),OFFSET(Actual!$B$12,ROW($A24)-ROW($A$12),MATCH(Report!$I$1,Months,0)+1,1,1))))</f>
        <v>0</v>
      </c>
      <c r="E24" s="29">
        <f t="shared" ca="1" si="2"/>
        <v>0</v>
      </c>
      <c r="F24" s="30">
        <f t="shared" ca="1" si="0"/>
        <v>0</v>
      </c>
      <c r="G24" s="23">
        <f ca="1">IF(ISNA(MATCH(Report!$I$1,Months,0))=TRUE,0,IF(MATCH(Report!$I$1,Months,0)&lt;=12,SUM(OFFSET(Forecast!$B$12,ROW($A24)-ROW($A$12),MATCH(Report!$I$1,Months,0),1,-$I$2)),IF(MATCH(Report!$I$1,Months,0)&gt;=25,SUM(OFFSET(Forecast!$B$12,ROW($A24)-ROW($A$12),MATCH(Report!$I$1,Months,0)+2,1,-$I$2)),SUM(OFFSET(Forecast!$B$12,ROW($A24)-ROW($A$12),MATCH(Report!$I$1,Months,0)+1,1,-$I$2)))))</f>
        <v>0</v>
      </c>
      <c r="H24" s="28">
        <f ca="1">IF(ISNA(MATCH(Report!$I$1,Months,0))=TRUE,0,IF(MATCH(Report!$I$1,Months,0)&lt;=12,SUM(OFFSET(Actual!$B$12,ROW($A24)-ROW($A$12),MATCH(Report!$I$1,Months,0),1,-$I$2)),IF(MATCH(Report!$I$1,Months,0)&gt;=25,SUM(OFFSET(Actual!$B$12,ROW($A24)-ROW($A$12),MATCH(Report!$I$1,Months,0)+2,1,-$I$2)),SUM(OFFSET(Actual!$B$12,ROW($A24)-ROW($A$12),MATCH(Report!$I$1,Months,0)+1,1,-$I$2)))))</f>
        <v>0</v>
      </c>
      <c r="I24" s="29">
        <f t="shared" ca="1" si="3"/>
        <v>0</v>
      </c>
      <c r="J24" s="30">
        <f t="shared" ca="1" si="1"/>
        <v>0</v>
      </c>
    </row>
    <row r="25" spans="1:10" ht="15" customHeight="1" x14ac:dyDescent="0.3">
      <c r="A25" s="3" t="str">
        <f ca="1">OFFSET(Forecast!$B$12,ROW($B25)-ROW($B$12),0,1,1)</f>
        <v>Postage</v>
      </c>
      <c r="B25" s="22" t="str">
        <f ca="1">IF(A25&lt;&gt;OFFSET(Actual!$B$12,ROW($A25)-ROW($A$12),0,1,1),"ERR","")</f>
        <v/>
      </c>
      <c r="C25" s="23">
        <f ca="1">IF(ISNA(MATCH(Report!$I$1,Months,0))=TRUE,0,IF(MATCH(Report!$I$1,Months,0)&lt;=12,OFFSET(Forecast!$B$12,ROW($A25)-ROW($A$12),MATCH(Report!$I$1,Months,0),1,1),IF(MATCH(Report!$I$1,Months,0)&gt;=25,OFFSET(Forecast!$B$12,ROW($A25)-ROW($A$12),MATCH(Report!$I$1,Months,0)+2,1,1),OFFSET(Forecast!$B$12,ROW($A25)-ROW($A$12),MATCH(Report!$I$1,Months,0)+1,1,1))))</f>
        <v>100</v>
      </c>
      <c r="D25" s="28">
        <f ca="1">IF(ISNA(MATCH(Report!$I$1,Months,0))=TRUE,0,IF(MATCH(Report!$I$1,Months,0)&lt;=12,OFFSET(Actual!$B$12,ROW($A25)-ROW($A$12),MATCH(Report!$I$1,Months,0),1,1),IF(MATCH(Report!$I$1,Months,0)&gt;=25,OFFSET(Actual!$B$12,ROW($A25)-ROW($A$12),MATCH(Report!$I$1,Months,0)+2,1,1),OFFSET(Actual!$B$12,ROW($A25)-ROW($A$12),MATCH(Report!$I$1,Months,0)+1,1,1))))</f>
        <v>0</v>
      </c>
      <c r="E25" s="29">
        <f t="shared" ca="1" si="2"/>
        <v>100</v>
      </c>
      <c r="F25" s="30">
        <f t="shared" ca="1" si="0"/>
        <v>1</v>
      </c>
      <c r="G25" s="23">
        <f ca="1">IF(ISNA(MATCH(Report!$I$1,Months,0))=TRUE,0,IF(MATCH(Report!$I$1,Months,0)&lt;=12,SUM(OFFSET(Forecast!$B$12,ROW($A25)-ROW($A$12),MATCH(Report!$I$1,Months,0),1,-$I$2)),IF(MATCH(Report!$I$1,Months,0)&gt;=25,SUM(OFFSET(Forecast!$B$12,ROW($A25)-ROW($A$12),MATCH(Report!$I$1,Months,0)+2,1,-$I$2)),SUM(OFFSET(Forecast!$B$12,ROW($A25)-ROW($A$12),MATCH(Report!$I$1,Months,0)+1,1,-$I$2)))))</f>
        <v>600</v>
      </c>
      <c r="H25" s="28">
        <f ca="1">IF(ISNA(MATCH(Report!$I$1,Months,0))=TRUE,0,IF(MATCH(Report!$I$1,Months,0)&lt;=12,SUM(OFFSET(Actual!$B$12,ROW($A25)-ROW($A$12),MATCH(Report!$I$1,Months,0),1,-$I$2)),IF(MATCH(Report!$I$1,Months,0)&gt;=25,SUM(OFFSET(Actual!$B$12,ROW($A25)-ROW($A$12),MATCH(Report!$I$1,Months,0)+2,1,-$I$2)),SUM(OFFSET(Actual!$B$12,ROW($A25)-ROW($A$12),MATCH(Report!$I$1,Months,0)+1,1,-$I$2)))))</f>
        <v>1200</v>
      </c>
      <c r="I25" s="29">
        <f t="shared" ca="1" si="3"/>
        <v>-600</v>
      </c>
      <c r="J25" s="30">
        <f t="shared" ca="1" si="1"/>
        <v>-1</v>
      </c>
    </row>
    <row r="26" spans="1:10" ht="15" customHeight="1" x14ac:dyDescent="0.3">
      <c r="A26" s="3" t="str">
        <f ca="1">OFFSET(Forecast!$B$12,ROW($B26)-ROW($B$12),0,1,1)</f>
        <v>Printing &amp; Stationery</v>
      </c>
      <c r="B26" s="22" t="str">
        <f ca="1">IF(A26&lt;&gt;OFFSET(Actual!$B$12,ROW($A26)-ROW($A$12),0,1,1),"ERR","")</f>
        <v/>
      </c>
      <c r="C26" s="23">
        <f ca="1">IF(ISNA(MATCH(Report!$I$1,Months,0))=TRUE,0,IF(MATCH(Report!$I$1,Months,0)&lt;=12,OFFSET(Forecast!$B$12,ROW($A26)-ROW($A$12),MATCH(Report!$I$1,Months,0),1,1),IF(MATCH(Report!$I$1,Months,0)&gt;=25,OFFSET(Forecast!$B$12,ROW($A26)-ROW($A$12),MATCH(Report!$I$1,Months,0)+2,1,1),OFFSET(Forecast!$B$12,ROW($A26)-ROW($A$12),MATCH(Report!$I$1,Months,0)+1,1,1))))</f>
        <v>300</v>
      </c>
      <c r="D26" s="28">
        <f ca="1">IF(ISNA(MATCH(Report!$I$1,Months,0))=TRUE,0,IF(MATCH(Report!$I$1,Months,0)&lt;=12,OFFSET(Actual!$B$12,ROW($A26)-ROW($A$12),MATCH(Report!$I$1,Months,0),1,1),IF(MATCH(Report!$I$1,Months,0)&gt;=25,OFFSET(Actual!$B$12,ROW($A26)-ROW($A$12),MATCH(Report!$I$1,Months,0)+2,1,1),OFFSET(Actual!$B$12,ROW($A26)-ROW($A$12),MATCH(Report!$I$1,Months,0)+1,1,1))))</f>
        <v>0</v>
      </c>
      <c r="E26" s="29">
        <f t="shared" ca="1" si="2"/>
        <v>300</v>
      </c>
      <c r="F26" s="30">
        <f t="shared" ca="1" si="0"/>
        <v>1</v>
      </c>
      <c r="G26" s="23">
        <f ca="1">IF(ISNA(MATCH(Report!$I$1,Months,0))=TRUE,0,IF(MATCH(Report!$I$1,Months,0)&lt;=12,SUM(OFFSET(Forecast!$B$12,ROW($A26)-ROW($A$12),MATCH(Report!$I$1,Months,0),1,-$I$2)),IF(MATCH(Report!$I$1,Months,0)&gt;=25,SUM(OFFSET(Forecast!$B$12,ROW($A26)-ROW($A$12),MATCH(Report!$I$1,Months,0)+2,1,-$I$2)),SUM(OFFSET(Forecast!$B$12,ROW($A26)-ROW($A$12),MATCH(Report!$I$1,Months,0)+1,1,-$I$2)))))</f>
        <v>1800</v>
      </c>
      <c r="H26" s="28">
        <f ca="1">IF(ISNA(MATCH(Report!$I$1,Months,0))=TRUE,0,IF(MATCH(Report!$I$1,Months,0)&lt;=12,SUM(OFFSET(Actual!$B$12,ROW($A26)-ROW($A$12),MATCH(Report!$I$1,Months,0),1,-$I$2)),IF(MATCH(Report!$I$1,Months,0)&gt;=25,SUM(OFFSET(Actual!$B$12,ROW($A26)-ROW($A$12),MATCH(Report!$I$1,Months,0)+2,1,-$I$2)),SUM(OFFSET(Actual!$B$12,ROW($A26)-ROW($A$12),MATCH(Report!$I$1,Months,0)+1,1,-$I$2)))))</f>
        <v>1820</v>
      </c>
      <c r="I26" s="29">
        <f t="shared" ca="1" si="3"/>
        <v>-20</v>
      </c>
      <c r="J26" s="30">
        <f t="shared" ca="1" si="1"/>
        <v>-1.1111111111111112E-2</v>
      </c>
    </row>
    <row r="27" spans="1:10" ht="15" customHeight="1" x14ac:dyDescent="0.3">
      <c r="A27" s="3" t="str">
        <f ca="1">OFFSET(Forecast!$B$12,ROW($B27)-ROW($B$12),0,1,1)</f>
        <v>Professional Fees</v>
      </c>
      <c r="B27" s="22" t="str">
        <f ca="1">IF(A27&lt;&gt;OFFSET(Actual!$B$12,ROW($A27)-ROW($A$12),0,1,1),"ERR","")</f>
        <v/>
      </c>
      <c r="C27" s="23">
        <f ca="1">IF(ISNA(MATCH(Report!$I$1,Months,0))=TRUE,0,IF(MATCH(Report!$I$1,Months,0)&lt;=12,OFFSET(Forecast!$B$12,ROW($A27)-ROW($A$12),MATCH(Report!$I$1,Months,0),1,1),IF(MATCH(Report!$I$1,Months,0)&gt;=25,OFFSET(Forecast!$B$12,ROW($A27)-ROW($A$12),MATCH(Report!$I$1,Months,0)+2,1,1),OFFSET(Forecast!$B$12,ROW($A27)-ROW($A$12),MATCH(Report!$I$1,Months,0)+1,1,1))))</f>
        <v>0</v>
      </c>
      <c r="D27" s="28">
        <f ca="1">IF(ISNA(MATCH(Report!$I$1,Months,0))=TRUE,0,IF(MATCH(Report!$I$1,Months,0)&lt;=12,OFFSET(Actual!$B$12,ROW($A27)-ROW($A$12),MATCH(Report!$I$1,Months,0),1,1),IF(MATCH(Report!$I$1,Months,0)&gt;=25,OFFSET(Actual!$B$12,ROW($A27)-ROW($A$12),MATCH(Report!$I$1,Months,0)+2,1,1),OFFSET(Actual!$B$12,ROW($A27)-ROW($A$12),MATCH(Report!$I$1,Months,0)+1,1,1))))</f>
        <v>0</v>
      </c>
      <c r="E27" s="29">
        <f t="shared" ca="1" si="2"/>
        <v>0</v>
      </c>
      <c r="F27" s="30">
        <f t="shared" ca="1" si="0"/>
        <v>0</v>
      </c>
      <c r="G27" s="23">
        <f ca="1">IF(ISNA(MATCH(Report!$I$1,Months,0))=TRUE,0,IF(MATCH(Report!$I$1,Months,0)&lt;=12,SUM(OFFSET(Forecast!$B$12,ROW($A27)-ROW($A$12),MATCH(Report!$I$1,Months,0),1,-$I$2)),IF(MATCH(Report!$I$1,Months,0)&gt;=25,SUM(OFFSET(Forecast!$B$12,ROW($A27)-ROW($A$12),MATCH(Report!$I$1,Months,0)+2,1,-$I$2)),SUM(OFFSET(Forecast!$B$12,ROW($A27)-ROW($A$12),MATCH(Report!$I$1,Months,0)+1,1,-$I$2)))))</f>
        <v>0</v>
      </c>
      <c r="H27" s="28">
        <f ca="1">IF(ISNA(MATCH(Report!$I$1,Months,0))=TRUE,0,IF(MATCH(Report!$I$1,Months,0)&lt;=12,SUM(OFFSET(Actual!$B$12,ROW($A27)-ROW($A$12),MATCH(Report!$I$1,Months,0),1,-$I$2)),IF(MATCH(Report!$I$1,Months,0)&gt;=25,SUM(OFFSET(Actual!$B$12,ROW($A27)-ROW($A$12),MATCH(Report!$I$1,Months,0)+2,1,-$I$2)),SUM(OFFSET(Actual!$B$12,ROW($A27)-ROW($A$12),MATCH(Report!$I$1,Months,0)+1,1,-$I$2)))))</f>
        <v>0</v>
      </c>
      <c r="I27" s="29">
        <f t="shared" ca="1" si="3"/>
        <v>0</v>
      </c>
      <c r="J27" s="30">
        <f t="shared" ca="1" si="1"/>
        <v>0</v>
      </c>
    </row>
    <row r="28" spans="1:10" ht="15" customHeight="1" x14ac:dyDescent="0.3">
      <c r="A28" s="3" t="str">
        <f ca="1">OFFSET(Forecast!$B$12,ROW($B28)-ROW($B$12),0,1,1)</f>
        <v>Rent</v>
      </c>
      <c r="B28" s="22" t="str">
        <f ca="1">IF(A28&lt;&gt;OFFSET(Actual!$B$12,ROW($A28)-ROW($A$12),0,1,1),"ERR","")</f>
        <v/>
      </c>
      <c r="C28" s="23">
        <f ca="1">IF(ISNA(MATCH(Report!$I$1,Months,0))=TRUE,0,IF(MATCH(Report!$I$1,Months,0)&lt;=12,OFFSET(Forecast!$B$12,ROW($A28)-ROW($A$12),MATCH(Report!$I$1,Months,0),1,1),IF(MATCH(Report!$I$1,Months,0)&gt;=25,OFFSET(Forecast!$B$12,ROW($A28)-ROW($A$12),MATCH(Report!$I$1,Months,0)+2,1,1),OFFSET(Forecast!$B$12,ROW($A28)-ROW($A$12),MATCH(Report!$I$1,Months,0)+1,1,1))))</f>
        <v>10000</v>
      </c>
      <c r="D28" s="28">
        <f ca="1">IF(ISNA(MATCH(Report!$I$1,Months,0))=TRUE,0,IF(MATCH(Report!$I$1,Months,0)&lt;=12,OFFSET(Actual!$B$12,ROW($A28)-ROW($A$12),MATCH(Report!$I$1,Months,0),1,1),IF(MATCH(Report!$I$1,Months,0)&gt;=25,OFFSET(Actual!$B$12,ROW($A28)-ROW($A$12),MATCH(Report!$I$1,Months,0)+2,1,1),OFFSET(Actual!$B$12,ROW($A28)-ROW($A$12),MATCH(Report!$I$1,Months,0)+1,1,1))))</f>
        <v>9780</v>
      </c>
      <c r="E28" s="29">
        <f t="shared" ca="1" si="2"/>
        <v>220</v>
      </c>
      <c r="F28" s="30">
        <f t="shared" ca="1" si="0"/>
        <v>2.1999999999999999E-2</v>
      </c>
      <c r="G28" s="23">
        <f ca="1">IF(ISNA(MATCH(Report!$I$1,Months,0))=TRUE,0,IF(MATCH(Report!$I$1,Months,0)&lt;=12,SUM(OFFSET(Forecast!$B$12,ROW($A28)-ROW($A$12),MATCH(Report!$I$1,Months,0),1,-$I$2)),IF(MATCH(Report!$I$1,Months,0)&gt;=25,SUM(OFFSET(Forecast!$B$12,ROW($A28)-ROW($A$12),MATCH(Report!$I$1,Months,0)+2,1,-$I$2)),SUM(OFFSET(Forecast!$B$12,ROW($A28)-ROW($A$12),MATCH(Report!$I$1,Months,0)+1,1,-$I$2)))))</f>
        <v>60000</v>
      </c>
      <c r="H28" s="28">
        <f ca="1">IF(ISNA(MATCH(Report!$I$1,Months,0))=TRUE,0,IF(MATCH(Report!$I$1,Months,0)&lt;=12,SUM(OFFSET(Actual!$B$12,ROW($A28)-ROW($A$12),MATCH(Report!$I$1,Months,0),1,-$I$2)),IF(MATCH(Report!$I$1,Months,0)&gt;=25,SUM(OFFSET(Actual!$B$12,ROW($A28)-ROW($A$12),MATCH(Report!$I$1,Months,0)+2,1,-$I$2)),SUM(OFFSET(Actual!$B$12,ROW($A28)-ROW($A$12),MATCH(Report!$I$1,Months,0)+1,1,-$I$2)))))</f>
        <v>58680</v>
      </c>
      <c r="I28" s="29">
        <f t="shared" ca="1" si="3"/>
        <v>1320</v>
      </c>
      <c r="J28" s="30">
        <f t="shared" ca="1" si="1"/>
        <v>2.1999999999999999E-2</v>
      </c>
    </row>
    <row r="29" spans="1:10" ht="15" customHeight="1" x14ac:dyDescent="0.3">
      <c r="A29" s="3" t="str">
        <f ca="1">OFFSET(Forecast!$B$12,ROW($B29)-ROW($B$12),0,1,1)</f>
        <v>Repairs &amp; Maintenance</v>
      </c>
      <c r="B29" s="22" t="str">
        <f ca="1">IF(A29&lt;&gt;OFFSET(Actual!$B$12,ROW($A29)-ROW($A$12),0,1,1),"ERR","")</f>
        <v/>
      </c>
      <c r="C29" s="23">
        <f ca="1">IF(ISNA(MATCH(Report!$I$1,Months,0))=TRUE,0,IF(MATCH(Report!$I$1,Months,0)&lt;=12,OFFSET(Forecast!$B$12,ROW($A29)-ROW($A$12),MATCH(Report!$I$1,Months,0),1,1),IF(MATCH(Report!$I$1,Months,0)&gt;=25,OFFSET(Forecast!$B$12,ROW($A29)-ROW($A$12),MATCH(Report!$I$1,Months,0)+2,1,1),OFFSET(Forecast!$B$12,ROW($A29)-ROW($A$12),MATCH(Report!$I$1,Months,0)+1,1,1))))</f>
        <v>780</v>
      </c>
      <c r="D29" s="28">
        <f ca="1">IF(ISNA(MATCH(Report!$I$1,Months,0))=TRUE,0,IF(MATCH(Report!$I$1,Months,0)&lt;=12,OFFSET(Actual!$B$12,ROW($A29)-ROW($A$12),MATCH(Report!$I$1,Months,0),1,1),IF(MATCH(Report!$I$1,Months,0)&gt;=25,OFFSET(Actual!$B$12,ROW($A29)-ROW($A$12),MATCH(Report!$I$1,Months,0)+2,1,1),OFFSET(Actual!$B$12,ROW($A29)-ROW($A$12),MATCH(Report!$I$1,Months,0)+1,1,1))))</f>
        <v>710</v>
      </c>
      <c r="E29" s="29">
        <f t="shared" ca="1" si="2"/>
        <v>70</v>
      </c>
      <c r="F29" s="30">
        <f t="shared" ca="1" si="0"/>
        <v>8.9743589743589744E-2</v>
      </c>
      <c r="G29" s="23">
        <f ca="1">IF(ISNA(MATCH(Report!$I$1,Months,0))=TRUE,0,IF(MATCH(Report!$I$1,Months,0)&lt;=12,SUM(OFFSET(Forecast!$B$12,ROW($A29)-ROW($A$12),MATCH(Report!$I$1,Months,0),1,-$I$2)),IF(MATCH(Report!$I$1,Months,0)&gt;=25,SUM(OFFSET(Forecast!$B$12,ROW($A29)-ROW($A$12),MATCH(Report!$I$1,Months,0)+2,1,-$I$2)),SUM(OFFSET(Forecast!$B$12,ROW($A29)-ROW($A$12),MATCH(Report!$I$1,Months,0)+1,1,-$I$2)))))</f>
        <v>1580</v>
      </c>
      <c r="H29" s="28">
        <f ca="1">IF(ISNA(MATCH(Report!$I$1,Months,0))=TRUE,0,IF(MATCH(Report!$I$1,Months,0)&lt;=12,SUM(OFFSET(Actual!$B$12,ROW($A29)-ROW($A$12),MATCH(Report!$I$1,Months,0),1,-$I$2)),IF(MATCH(Report!$I$1,Months,0)&gt;=25,SUM(OFFSET(Actual!$B$12,ROW($A29)-ROW($A$12),MATCH(Report!$I$1,Months,0)+2,1,-$I$2)),SUM(OFFSET(Actual!$B$12,ROW($A29)-ROW($A$12),MATCH(Report!$I$1,Months,0)+1,1,-$I$2)))))</f>
        <v>1510</v>
      </c>
      <c r="I29" s="29">
        <f t="shared" ca="1" si="3"/>
        <v>70</v>
      </c>
      <c r="J29" s="30">
        <f t="shared" ca="1" si="1"/>
        <v>4.4303797468354431E-2</v>
      </c>
    </row>
    <row r="30" spans="1:10" ht="15" customHeight="1" x14ac:dyDescent="0.3">
      <c r="A30" s="3" t="str">
        <f ca="1">OFFSET(Forecast!$B$12,ROW($B30)-ROW($B$12),0,1,1)</f>
        <v>Salaries &amp; Wages</v>
      </c>
      <c r="B30" s="22" t="str">
        <f ca="1">IF(A30&lt;&gt;OFFSET(Actual!$B$12,ROW($A30)-ROW($A$12),0,1,1),"ERR","")</f>
        <v/>
      </c>
      <c r="C30" s="23">
        <f ca="1">IF(ISNA(MATCH(Report!$I$1,Months,0))=TRUE,0,IF(MATCH(Report!$I$1,Months,0)&lt;=12,OFFSET(Forecast!$B$12,ROW($A30)-ROW($A$12),MATCH(Report!$I$1,Months,0),1,1),IF(MATCH(Report!$I$1,Months,0)&gt;=25,OFFSET(Forecast!$B$12,ROW($A30)-ROW($A$12),MATCH(Report!$I$1,Months,0)+2,1,1),OFFSET(Forecast!$B$12,ROW($A30)-ROW($A$12),MATCH(Report!$I$1,Months,0)+1,1,1))))</f>
        <v>22850</v>
      </c>
      <c r="D30" s="28">
        <f ca="1">IF(ISNA(MATCH(Report!$I$1,Months,0))=TRUE,0,IF(MATCH(Report!$I$1,Months,0)&lt;=12,OFFSET(Actual!$B$12,ROW($A30)-ROW($A$12),MATCH(Report!$I$1,Months,0),1,1),IF(MATCH(Report!$I$1,Months,0)&gt;=25,OFFSET(Actual!$B$12,ROW($A30)-ROW($A$12),MATCH(Report!$I$1,Months,0)+2,1,1),OFFSET(Actual!$B$12,ROW($A30)-ROW($A$12),MATCH(Report!$I$1,Months,0)+1,1,1))))</f>
        <v>23050</v>
      </c>
      <c r="E30" s="29">
        <f t="shared" ca="1" si="2"/>
        <v>-200</v>
      </c>
      <c r="F30" s="30">
        <f t="shared" ca="1" si="0"/>
        <v>-8.7527352297592995E-3</v>
      </c>
      <c r="G30" s="23">
        <f ca="1">IF(ISNA(MATCH(Report!$I$1,Months,0))=TRUE,0,IF(MATCH(Report!$I$1,Months,0)&lt;=12,SUM(OFFSET(Forecast!$B$12,ROW($A30)-ROW($A$12),MATCH(Report!$I$1,Months,0),1,-$I$2)),IF(MATCH(Report!$I$1,Months,0)&gt;=25,SUM(OFFSET(Forecast!$B$12,ROW($A30)-ROW($A$12),MATCH(Report!$I$1,Months,0)+2,1,-$I$2)),SUM(OFFSET(Forecast!$B$12,ROW($A30)-ROW($A$12),MATCH(Report!$I$1,Months,0)+1,1,-$I$2)))))</f>
        <v>137100</v>
      </c>
      <c r="H30" s="28">
        <f ca="1">IF(ISNA(MATCH(Report!$I$1,Months,0))=TRUE,0,IF(MATCH(Report!$I$1,Months,0)&lt;=12,SUM(OFFSET(Actual!$B$12,ROW($A30)-ROW($A$12),MATCH(Report!$I$1,Months,0),1,-$I$2)),IF(MATCH(Report!$I$1,Months,0)&gt;=25,SUM(OFFSET(Actual!$B$12,ROW($A30)-ROW($A$12),MATCH(Report!$I$1,Months,0)+2,1,-$I$2)),SUM(OFFSET(Actual!$B$12,ROW($A30)-ROW($A$12),MATCH(Report!$I$1,Months,0)+1,1,-$I$2)))))</f>
        <v>138300</v>
      </c>
      <c r="I30" s="29">
        <f t="shared" ca="1" si="3"/>
        <v>-1200</v>
      </c>
      <c r="J30" s="30">
        <f t="shared" ca="1" si="1"/>
        <v>-8.7527352297592995E-3</v>
      </c>
    </row>
    <row r="31" spans="1:10" ht="15" customHeight="1" x14ac:dyDescent="0.3">
      <c r="A31" s="3" t="str">
        <f ca="1">OFFSET(Forecast!$B$12,ROW($B31)-ROW($B$12),0,1,1)</f>
        <v>Security</v>
      </c>
      <c r="B31" s="22" t="str">
        <f ca="1">IF(A31&lt;&gt;OFFSET(Actual!$B$12,ROW($A31)-ROW($A$12),0,1,1),"ERR","")</f>
        <v/>
      </c>
      <c r="C31" s="23">
        <f ca="1">IF(ISNA(MATCH(Report!$I$1,Months,0))=TRUE,0,IF(MATCH(Report!$I$1,Months,0)&lt;=12,OFFSET(Forecast!$B$12,ROW($A31)-ROW($A$12),MATCH(Report!$I$1,Months,0),1,1),IF(MATCH(Report!$I$1,Months,0)&gt;=25,OFFSET(Forecast!$B$12,ROW($A31)-ROW($A$12),MATCH(Report!$I$1,Months,0)+2,1,1),OFFSET(Forecast!$B$12,ROW($A31)-ROW($A$12),MATCH(Report!$I$1,Months,0)+1,1,1))))</f>
        <v>325</v>
      </c>
      <c r="D31" s="28">
        <f ca="1">IF(ISNA(MATCH(Report!$I$1,Months,0))=TRUE,0,IF(MATCH(Report!$I$1,Months,0)&lt;=12,OFFSET(Actual!$B$12,ROW($A31)-ROW($A$12),MATCH(Report!$I$1,Months,0),1,1),IF(MATCH(Report!$I$1,Months,0)&gt;=25,OFFSET(Actual!$B$12,ROW($A31)-ROW($A$12),MATCH(Report!$I$1,Months,0)+2,1,1),OFFSET(Actual!$B$12,ROW($A31)-ROW($A$12),MATCH(Report!$I$1,Months,0)+1,1,1))))</f>
        <v>389</v>
      </c>
      <c r="E31" s="29">
        <f t="shared" ca="1" si="2"/>
        <v>-64</v>
      </c>
      <c r="F31" s="30">
        <f t="shared" ca="1" si="0"/>
        <v>-0.19692307692307692</v>
      </c>
      <c r="G31" s="23">
        <f ca="1">IF(ISNA(MATCH(Report!$I$1,Months,0))=TRUE,0,IF(MATCH(Report!$I$1,Months,0)&lt;=12,SUM(OFFSET(Forecast!$B$12,ROW($A31)-ROW($A$12),MATCH(Report!$I$1,Months,0),1,-$I$2)),IF(MATCH(Report!$I$1,Months,0)&gt;=25,SUM(OFFSET(Forecast!$B$12,ROW($A31)-ROW($A$12),MATCH(Report!$I$1,Months,0)+2,1,-$I$2)),SUM(OFFSET(Forecast!$B$12,ROW($A31)-ROW($A$12),MATCH(Report!$I$1,Months,0)+1,1,-$I$2)))))</f>
        <v>1950</v>
      </c>
      <c r="H31" s="28">
        <f ca="1">IF(ISNA(MATCH(Report!$I$1,Months,0))=TRUE,0,IF(MATCH(Report!$I$1,Months,0)&lt;=12,SUM(OFFSET(Actual!$B$12,ROW($A31)-ROW($A$12),MATCH(Report!$I$1,Months,0),1,-$I$2)),IF(MATCH(Report!$I$1,Months,0)&gt;=25,SUM(OFFSET(Actual!$B$12,ROW($A31)-ROW($A$12),MATCH(Report!$I$1,Months,0)+2,1,-$I$2)),SUM(OFFSET(Actual!$B$12,ROW($A31)-ROW($A$12),MATCH(Report!$I$1,Months,0)+1,1,-$I$2)))))</f>
        <v>2334</v>
      </c>
      <c r="I31" s="29">
        <f t="shared" ca="1" si="3"/>
        <v>-384</v>
      </c>
      <c r="J31" s="30">
        <f t="shared" ca="1" si="1"/>
        <v>-0.19692307692307692</v>
      </c>
    </row>
    <row r="32" spans="1:10" ht="15" customHeight="1" x14ac:dyDescent="0.3">
      <c r="A32" s="3" t="str">
        <f ca="1">OFFSET(Forecast!$B$12,ROW($B32)-ROW($B$12),0,1,1)</f>
        <v>Subscriptions</v>
      </c>
      <c r="B32" s="22" t="str">
        <f ca="1">IF(A32&lt;&gt;OFFSET(Actual!$B$12,ROW($A32)-ROW($A$12),0,1,1),"ERR","")</f>
        <v/>
      </c>
      <c r="C32" s="23">
        <f ca="1">IF(ISNA(MATCH(Report!$I$1,Months,0))=TRUE,0,IF(MATCH(Report!$I$1,Months,0)&lt;=12,OFFSET(Forecast!$B$12,ROW($A32)-ROW($A$12),MATCH(Report!$I$1,Months,0),1,1),IF(MATCH(Report!$I$1,Months,0)&gt;=25,OFFSET(Forecast!$B$12,ROW($A32)-ROW($A$12),MATCH(Report!$I$1,Months,0)+2,1,1),OFFSET(Forecast!$B$12,ROW($A32)-ROW($A$12),MATCH(Report!$I$1,Months,0)+1,1,1))))</f>
        <v>3200</v>
      </c>
      <c r="D32" s="28">
        <f ca="1">IF(ISNA(MATCH(Report!$I$1,Months,0))=TRUE,0,IF(MATCH(Report!$I$1,Months,0)&lt;=12,OFFSET(Actual!$B$12,ROW($A32)-ROW($A$12),MATCH(Report!$I$1,Months,0),1,1),IF(MATCH(Report!$I$1,Months,0)&gt;=25,OFFSET(Actual!$B$12,ROW($A32)-ROW($A$12),MATCH(Report!$I$1,Months,0)+2,1,1),OFFSET(Actual!$B$12,ROW($A32)-ROW($A$12),MATCH(Report!$I$1,Months,0)+1,1,1))))</f>
        <v>3200</v>
      </c>
      <c r="E32" s="29">
        <f t="shared" ca="1" si="2"/>
        <v>0</v>
      </c>
      <c r="F32" s="30">
        <f t="shared" ca="1" si="0"/>
        <v>0</v>
      </c>
      <c r="G32" s="23">
        <f ca="1">IF(ISNA(MATCH(Report!$I$1,Months,0))=TRUE,0,IF(MATCH(Report!$I$1,Months,0)&lt;=12,SUM(OFFSET(Forecast!$B$12,ROW($A32)-ROW($A$12),MATCH(Report!$I$1,Months,0),1,-$I$2)),IF(MATCH(Report!$I$1,Months,0)&gt;=25,SUM(OFFSET(Forecast!$B$12,ROW($A32)-ROW($A$12),MATCH(Report!$I$1,Months,0)+2,1,-$I$2)),SUM(OFFSET(Forecast!$B$12,ROW($A32)-ROW($A$12),MATCH(Report!$I$1,Months,0)+1,1,-$I$2)))))</f>
        <v>3200</v>
      </c>
      <c r="H32" s="28">
        <f ca="1">IF(ISNA(MATCH(Report!$I$1,Months,0))=TRUE,0,IF(MATCH(Report!$I$1,Months,0)&lt;=12,SUM(OFFSET(Actual!$B$12,ROW($A32)-ROW($A$12),MATCH(Report!$I$1,Months,0),1,-$I$2)),IF(MATCH(Report!$I$1,Months,0)&gt;=25,SUM(OFFSET(Actual!$B$12,ROW($A32)-ROW($A$12),MATCH(Report!$I$1,Months,0)+2,1,-$I$2)),SUM(OFFSET(Actual!$B$12,ROW($A32)-ROW($A$12),MATCH(Report!$I$1,Months,0)+1,1,-$I$2)))))</f>
        <v>3200</v>
      </c>
      <c r="I32" s="29">
        <f t="shared" ca="1" si="3"/>
        <v>0</v>
      </c>
      <c r="J32" s="30">
        <f t="shared" ca="1" si="1"/>
        <v>0</v>
      </c>
    </row>
    <row r="33" spans="1:10" s="32" customFormat="1" ht="15" customHeight="1" x14ac:dyDescent="0.3">
      <c r="A33" s="3" t="str">
        <f ca="1">OFFSET(Forecast!$B$12,ROW($B33)-ROW($B$12),0,1,1)</f>
        <v>Telephone &amp; Fax</v>
      </c>
      <c r="B33" s="22" t="str">
        <f ca="1">IF(A33&lt;&gt;OFFSET(Actual!$B$12,ROW($A33)-ROW($A$12),0,1,1),"ERR","")</f>
        <v/>
      </c>
      <c r="C33" s="23">
        <f ca="1">IF(ISNA(MATCH(Report!$I$1,Months,0))=TRUE,0,IF(MATCH(Report!$I$1,Months,0)&lt;=12,OFFSET(Forecast!$B$12,ROW($A33)-ROW($A$12),MATCH(Report!$I$1,Months,0),1,1),IF(MATCH(Report!$I$1,Months,0)&gt;=25,OFFSET(Forecast!$B$12,ROW($A33)-ROW($A$12),MATCH(Report!$I$1,Months,0)+2,1,1),OFFSET(Forecast!$B$12,ROW($A33)-ROW($A$12),MATCH(Report!$I$1,Months,0)+1,1,1))))</f>
        <v>2510</v>
      </c>
      <c r="D33" s="28">
        <f ca="1">IF(ISNA(MATCH(Report!$I$1,Months,0))=TRUE,0,IF(MATCH(Report!$I$1,Months,0)&lt;=12,OFFSET(Actual!$B$12,ROW($A33)-ROW($A$12),MATCH(Report!$I$1,Months,0),1,1),IF(MATCH(Report!$I$1,Months,0)&gt;=25,OFFSET(Actual!$B$12,ROW($A33)-ROW($A$12),MATCH(Report!$I$1,Months,0)+2,1,1),OFFSET(Actual!$B$12,ROW($A33)-ROW($A$12),MATCH(Report!$I$1,Months,0)+1,1,1))))</f>
        <v>2489</v>
      </c>
      <c r="E33" s="28">
        <f t="shared" ca="1" si="2"/>
        <v>21</v>
      </c>
      <c r="F33" s="30">
        <f t="shared" ca="1" si="0"/>
        <v>8.3665338645418329E-3</v>
      </c>
      <c r="G33" s="23">
        <f ca="1">IF(ISNA(MATCH(Report!$I$1,Months,0))=TRUE,0,IF(MATCH(Report!$I$1,Months,0)&lt;=12,SUM(OFFSET(Forecast!$B$12,ROW($A33)-ROW($A$12),MATCH(Report!$I$1,Months,0),1,-$I$2)),IF(MATCH(Report!$I$1,Months,0)&gt;=25,SUM(OFFSET(Forecast!$B$12,ROW($A33)-ROW($A$12),MATCH(Report!$I$1,Months,0)+2,1,-$I$2)),SUM(OFFSET(Forecast!$B$12,ROW($A33)-ROW($A$12),MATCH(Report!$I$1,Months,0)+1,1,-$I$2)))))</f>
        <v>15060</v>
      </c>
      <c r="H33" s="28">
        <f ca="1">IF(ISNA(MATCH(Report!$I$1,Months,0))=TRUE,0,IF(MATCH(Report!$I$1,Months,0)&lt;=12,SUM(OFFSET(Actual!$B$12,ROW($A33)-ROW($A$12),MATCH(Report!$I$1,Months,0),1,-$I$2)),IF(MATCH(Report!$I$1,Months,0)&gt;=25,SUM(OFFSET(Actual!$B$12,ROW($A33)-ROW($A$12),MATCH(Report!$I$1,Months,0)+2,1,-$I$2)),SUM(OFFSET(Actual!$B$12,ROW($A33)-ROW($A$12),MATCH(Report!$I$1,Months,0)+1,1,-$I$2)))))</f>
        <v>15198</v>
      </c>
      <c r="I33" s="28">
        <f t="shared" ca="1" si="3"/>
        <v>-138</v>
      </c>
      <c r="J33" s="30">
        <f t="shared" ca="1" si="1"/>
        <v>-9.1633466135458159E-3</v>
      </c>
    </row>
    <row r="34" spans="1:10" ht="15" customHeight="1" x14ac:dyDescent="0.3">
      <c r="A34" s="3" t="str">
        <f ca="1">OFFSET(Forecast!$B$12,ROW($B34)-ROW($B$12),0,1,1)</f>
        <v>Training</v>
      </c>
      <c r="B34" s="22" t="str">
        <f ca="1">IF(A34&lt;&gt;OFFSET(Actual!$B$12,ROW($A34)-ROW($A$12),0,1,1),"ERR","")</f>
        <v/>
      </c>
      <c r="C34" s="23">
        <f ca="1">IF(ISNA(MATCH(Report!$I$1,Months,0))=TRUE,0,IF(MATCH(Report!$I$1,Months,0)&lt;=12,OFFSET(Forecast!$B$12,ROW($A34)-ROW($A$12),MATCH(Report!$I$1,Months,0),1,1),IF(MATCH(Report!$I$1,Months,0)&gt;=25,OFFSET(Forecast!$B$12,ROW($A34)-ROW($A$12),MATCH(Report!$I$1,Months,0)+2,1,1),OFFSET(Forecast!$B$12,ROW($A34)-ROW($A$12),MATCH(Report!$I$1,Months,0)+1,1,1))))</f>
        <v>0</v>
      </c>
      <c r="D34" s="28">
        <f ca="1">IF(ISNA(MATCH(Report!$I$1,Months,0))=TRUE,0,IF(MATCH(Report!$I$1,Months,0)&lt;=12,OFFSET(Actual!$B$12,ROW($A34)-ROW($A$12),MATCH(Report!$I$1,Months,0),1,1),IF(MATCH(Report!$I$1,Months,0)&gt;=25,OFFSET(Actual!$B$12,ROW($A34)-ROW($A$12),MATCH(Report!$I$1,Months,0)+2,1,1),OFFSET(Actual!$B$12,ROW($A34)-ROW($A$12),MATCH(Report!$I$1,Months,0)+1,1,1))))</f>
        <v>0</v>
      </c>
      <c r="E34" s="28">
        <f t="shared" ca="1" si="2"/>
        <v>0</v>
      </c>
      <c r="F34" s="30">
        <f t="shared" ca="1" si="0"/>
        <v>0</v>
      </c>
      <c r="G34" s="23">
        <f ca="1">IF(ISNA(MATCH(Report!$I$1,Months,0))=TRUE,0,IF(MATCH(Report!$I$1,Months,0)&lt;=12,SUM(OFFSET(Forecast!$B$12,ROW($A34)-ROW($A$12),MATCH(Report!$I$1,Months,0),1,-$I$2)),IF(MATCH(Report!$I$1,Months,0)&gt;=25,SUM(OFFSET(Forecast!$B$12,ROW($A34)-ROW($A$12),MATCH(Report!$I$1,Months,0)+2,1,-$I$2)),SUM(OFFSET(Forecast!$B$12,ROW($A34)-ROW($A$12),MATCH(Report!$I$1,Months,0)+1,1,-$I$2)))))</f>
        <v>0</v>
      </c>
      <c r="H34" s="28">
        <f ca="1">IF(ISNA(MATCH(Report!$I$1,Months,0))=TRUE,0,IF(MATCH(Report!$I$1,Months,0)&lt;=12,SUM(OFFSET(Actual!$B$12,ROW($A34)-ROW($A$12),MATCH(Report!$I$1,Months,0),1,-$I$2)),IF(MATCH(Report!$I$1,Months,0)&gt;=25,SUM(OFFSET(Actual!$B$12,ROW($A34)-ROW($A$12),MATCH(Report!$I$1,Months,0)+2,1,-$I$2)),SUM(OFFSET(Actual!$B$12,ROW($A34)-ROW($A$12),MATCH(Report!$I$1,Months,0)+1,1,-$I$2)))))</f>
        <v>0</v>
      </c>
      <c r="I34" s="28">
        <f t="shared" ca="1" si="3"/>
        <v>0</v>
      </c>
      <c r="J34" s="30">
        <f t="shared" ca="1" si="1"/>
        <v>0</v>
      </c>
    </row>
    <row r="35" spans="1:10" ht="15" customHeight="1" x14ac:dyDescent="0.3">
      <c r="A35" s="3" t="str">
        <f ca="1">OFFSET(Forecast!$B$12,ROW($B35)-ROW($B$12),0,1,1)</f>
        <v>Uniforms</v>
      </c>
      <c r="B35" s="22" t="str">
        <f ca="1">IF(A35&lt;&gt;OFFSET(Actual!$B$12,ROW($A35)-ROW($A$12),0,1,1),"ERR","")</f>
        <v/>
      </c>
      <c r="C35" s="23">
        <f ca="1">IF(ISNA(MATCH(Report!$I$1,Months,0))=TRUE,0,IF(MATCH(Report!$I$1,Months,0)&lt;=12,OFFSET(Forecast!$B$12,ROW($A35)-ROW($A$12),MATCH(Report!$I$1,Months,0),1,1),IF(MATCH(Report!$I$1,Months,0)&gt;=25,OFFSET(Forecast!$B$12,ROW($A35)-ROW($A$12),MATCH(Report!$I$1,Months,0)+2,1,1),OFFSET(Forecast!$B$12,ROW($A35)-ROW($A$12),MATCH(Report!$I$1,Months,0)+1,1,1))))</f>
        <v>0</v>
      </c>
      <c r="D35" s="28">
        <f ca="1">IF(ISNA(MATCH(Report!$I$1,Months,0))=TRUE,0,IF(MATCH(Report!$I$1,Months,0)&lt;=12,OFFSET(Actual!$B$12,ROW($A35)-ROW($A$12),MATCH(Report!$I$1,Months,0),1,1),IF(MATCH(Report!$I$1,Months,0)&gt;=25,OFFSET(Actual!$B$12,ROW($A35)-ROW($A$12),MATCH(Report!$I$1,Months,0)+2,1,1),OFFSET(Actual!$B$12,ROW($A35)-ROW($A$12),MATCH(Report!$I$1,Months,0)+1,1,1))))</f>
        <v>0</v>
      </c>
      <c r="E35" s="29">
        <f t="shared" ca="1" si="2"/>
        <v>0</v>
      </c>
      <c r="F35" s="30">
        <f t="shared" ca="1" si="0"/>
        <v>0</v>
      </c>
      <c r="G35" s="23">
        <f ca="1">IF(ISNA(MATCH(Report!$I$1,Months,0))=TRUE,0,IF(MATCH(Report!$I$1,Months,0)&lt;=12,SUM(OFFSET(Forecast!$B$12,ROW($A35)-ROW($A$12),MATCH(Report!$I$1,Months,0),1,-$I$2)),IF(MATCH(Report!$I$1,Months,0)&gt;=25,SUM(OFFSET(Forecast!$B$12,ROW($A35)-ROW($A$12),MATCH(Report!$I$1,Months,0)+2,1,-$I$2)),SUM(OFFSET(Forecast!$B$12,ROW($A35)-ROW($A$12),MATCH(Report!$I$1,Months,0)+1,1,-$I$2)))))</f>
        <v>0</v>
      </c>
      <c r="H35" s="28">
        <f ca="1">IF(ISNA(MATCH(Report!$I$1,Months,0))=TRUE,0,IF(MATCH(Report!$I$1,Months,0)&lt;=12,SUM(OFFSET(Actual!$B$12,ROW($A35)-ROW($A$12),MATCH(Report!$I$1,Months,0),1,-$I$2)),IF(MATCH(Report!$I$1,Months,0)&gt;=25,SUM(OFFSET(Actual!$B$12,ROW($A35)-ROW($A$12),MATCH(Report!$I$1,Months,0)+2,1,-$I$2)),SUM(OFFSET(Actual!$B$12,ROW($A35)-ROW($A$12),MATCH(Report!$I$1,Months,0)+1,1,-$I$2)))))</f>
        <v>0</v>
      </c>
      <c r="I35" s="29">
        <f t="shared" ca="1" si="3"/>
        <v>0</v>
      </c>
      <c r="J35" s="30">
        <f t="shared" ca="1" si="1"/>
        <v>0</v>
      </c>
    </row>
    <row r="36" spans="1:10" s="47" customFormat="1" ht="15" customHeight="1" x14ac:dyDescent="0.35">
      <c r="A36" s="43" t="s">
        <v>74</v>
      </c>
      <c r="B36" s="22" t="str">
        <f ca="1">IF(A36&lt;&gt;OFFSET(Actual!$B$12,ROW($A36)-ROW($A$12),0,1,1),"ERR","")</f>
        <v/>
      </c>
      <c r="C36" s="82">
        <f ca="1">SUM(OFFSET(C$12,1,0,ROW($B$36)-ROW($B$12)-1,1))</f>
        <v>72155</v>
      </c>
      <c r="D36" s="83">
        <f ca="1">SUM(OFFSET(D$12,1,0,ROW($B$36)-ROW($B$12)-1,1))</f>
        <v>63907</v>
      </c>
      <c r="E36" s="83">
        <f ca="1">SUM(OFFSET(E$12,1,0,ROW($B$36)-ROW($B$12)-1,1))</f>
        <v>8248</v>
      </c>
      <c r="F36" s="84">
        <f t="shared" ca="1" si="0"/>
        <v>0.11430947266301712</v>
      </c>
      <c r="G36" s="82">
        <f ca="1">SUM(OFFSET(G$12,1,0,ROW($B$36)-ROW($B$12)-1,1))</f>
        <v>412380</v>
      </c>
      <c r="H36" s="83">
        <f ca="1">SUM(OFFSET(H$12,1,0,ROW($B$36)-ROW($B$12)-1,1))</f>
        <v>387158</v>
      </c>
      <c r="I36" s="83">
        <f ca="1">SUM(OFFSET(I$12,1,0,ROW($B$36)-ROW($B$12)-1,1))</f>
        <v>25222</v>
      </c>
      <c r="J36" s="84">
        <f t="shared" ca="1" si="1"/>
        <v>6.1162035016247153E-2</v>
      </c>
    </row>
    <row r="37" spans="1:10" ht="15" customHeight="1" x14ac:dyDescent="0.3">
      <c r="C37" s="23"/>
      <c r="D37" s="28"/>
      <c r="F37" s="30"/>
      <c r="G37" s="23"/>
      <c r="H37" s="28"/>
      <c r="I37" s="29"/>
      <c r="J37" s="30"/>
    </row>
    <row r="38" spans="1:10" s="8" customFormat="1" ht="15" customHeight="1" x14ac:dyDescent="0.3">
      <c r="A38" s="85" t="s">
        <v>80</v>
      </c>
      <c r="B38" s="86"/>
      <c r="C38" s="87">
        <f ca="1">IF(ISNA(MATCH(Report!$I$1,Months,0))=TRUE,0,IF(MATCH(Report!$I$1,Months,0)&lt;=12,OFFSET(Forecast!$B$38,0,MATCH(Report!$I$1,Months,0),1,1),IF(MATCH(Report!$I$1,Months,0)&gt;=25,OFFSET(Forecast!$B$38,0,MATCH(Report!$I$1,Months,0)+2,1,1),OFFSET(Forecast!$B$38,0,MATCH(Report!$I$1,Months,0)+1,1,1))))</f>
        <v>15416.666666666666</v>
      </c>
      <c r="D38" s="88">
        <f ca="1">IF(ISNA(MATCH(Report!$I$1,Months,0))=TRUE,0,IF(MATCH(Report!$I$1,Months,0)&lt;=12,OFFSET(Actual!$B$38,0,MATCH(Report!$I$1,Months,0),1,1),IF(MATCH(Report!$I$1,Months,0)&gt;=25,OFFSET(Actual!$B$38,0,MATCH(Report!$I$1,Months,0)+2,1,1),OFFSET(Actual!$B$38,0,MATCH(Report!$I$1,Months,0)+1,1,1))))</f>
        <v>15400</v>
      </c>
      <c r="E38" s="89">
        <f ca="1">C38-D38</f>
        <v>16.66666666666606</v>
      </c>
      <c r="F38" s="90">
        <f ca="1">IF(C38=0,IF(E38=0,0,-1),E38/ABS(C38))</f>
        <v>1.0810810810810418E-3</v>
      </c>
      <c r="G38" s="87">
        <f ca="1">IF(ISNA(MATCH(Report!$I$1,Months,0))=TRUE,0,IF(MATCH(Report!$I$1,Months,0)&lt;=12,SUM(OFFSET(Forecast!$B$38,0,MATCH(Report!$I$1,Months,0),1,-$I$2)),IF(MATCH(Report!$I$1,Months,0)&gt;=25,SUM(OFFSET(Forecast!$B$38,0,MATCH(Report!$I$1,Months,0)+2,1,-$I$2)),SUM(OFFSET(Forecast!$B$38,0,MATCH(Report!$I$1,Months,0)+1,1,-$I$2)))))</f>
        <v>84583.333333333343</v>
      </c>
      <c r="H38" s="88">
        <f ca="1">IF(ISNA(MATCH(Report!$I$1,Months,0))=TRUE,0,IF(MATCH(Report!$I$1,Months,0)&lt;=12,SUM(OFFSET(Actual!$B$38,0,MATCH(Report!$I$1,Months,0),1,-$I$2)),IF(MATCH(Report!$I$1,Months,0)&gt;=25,SUM(OFFSET(Actual!$B$38,0,MATCH(Report!$I$1,Months,0)+2,1,-$I$2)),SUM(OFFSET(Actual!$B$38,0,MATCH(Report!$I$1,Months,0)+1,1,-$I$2)))))</f>
        <v>83700</v>
      </c>
      <c r="I38" s="89">
        <f ca="1">G38-H38</f>
        <v>883.33333333334303</v>
      </c>
      <c r="J38" s="90">
        <f ca="1">IF(G38=0,IF(I38=0,0,-1),I38/ABS(G38))</f>
        <v>1.0443349753694695E-2</v>
      </c>
    </row>
    <row r="39" spans="1:10" ht="15" customHeight="1" x14ac:dyDescent="0.3">
      <c r="C39" s="23"/>
      <c r="D39" s="28"/>
      <c r="F39" s="30"/>
      <c r="G39" s="23"/>
      <c r="H39" s="28"/>
      <c r="I39" s="29"/>
      <c r="J39" s="30"/>
    </row>
    <row r="40" spans="1:10" s="47" customFormat="1" ht="15" customHeight="1" x14ac:dyDescent="0.35">
      <c r="A40" s="43" t="s">
        <v>82</v>
      </c>
      <c r="B40" s="78"/>
      <c r="C40" s="82">
        <f ca="1">SUM(C9,-C36,-C38)</f>
        <v>30828.333333333336</v>
      </c>
      <c r="D40" s="83">
        <f ca="1">SUM(D9,-D36,-D38)</f>
        <v>32353.5</v>
      </c>
      <c r="E40" s="83">
        <f ca="1">SUM(E9,E36,E38)</f>
        <v>1525.1666666666661</v>
      </c>
      <c r="F40" s="84">
        <f ca="1">IF(C40=0,IF(E40=0,0,-1),E40/ABS(C40))</f>
        <v>4.9472887495269478E-2</v>
      </c>
      <c r="G40" s="82">
        <f ca="1">SUM(G9,-G36,-G38)</f>
        <v>189246.66666666666</v>
      </c>
      <c r="H40" s="83">
        <f ca="1">SUM(H9,-H36,-H38)</f>
        <v>195144.61999999988</v>
      </c>
      <c r="I40" s="83">
        <f ca="1">SUM(I9,I36,I38)</f>
        <v>5897.953333333222</v>
      </c>
      <c r="J40" s="84">
        <f ca="1">IF(G40=0,IF(I40=0,0,-1),I40/ABS(G40))</f>
        <v>3.116542783668522E-2</v>
      </c>
    </row>
    <row r="41" spans="1:10" ht="15" customHeight="1" x14ac:dyDescent="0.3">
      <c r="C41" s="23"/>
      <c r="D41" s="28"/>
      <c r="F41" s="30"/>
      <c r="G41" s="23"/>
      <c r="H41" s="28"/>
      <c r="I41" s="29"/>
      <c r="J41" s="30"/>
    </row>
    <row r="42" spans="1:10" s="8" customFormat="1" ht="15" customHeight="1" x14ac:dyDescent="0.3">
      <c r="A42" s="85" t="s">
        <v>50</v>
      </c>
      <c r="B42" s="86"/>
      <c r="C42" s="87">
        <f ca="1">IF(ISNA(MATCH(Report!$I$1,Months,0))=TRUE,0,IF(MATCH(Report!$I$1,Months,0)&lt;=12,OFFSET(Forecast!$B$42,0,MATCH(Report!$I$1,Months,0),1,1),IF(MATCH(Report!$I$1,Months,0)&gt;=25,OFFSET(Forecast!$B$42,0,MATCH(Report!$I$1,Months,0)+2,1,1),OFFSET(Forecast!$B$42,0,MATCH(Report!$I$1,Months,0)+1,1,1))))</f>
        <v>9864.7218046963171</v>
      </c>
      <c r="D42" s="88">
        <f ca="1">IF(ISNA(MATCH(Report!$I$1,Months,0))=TRUE,0,IF(MATCH(Report!$I$1,Months,0)&lt;=12,OFFSET(Actual!$B$42,0,MATCH(Report!$I$1,Months,0),1,1),IF(MATCH(Report!$I$1,Months,0)&gt;=25,OFFSET(Actual!$B$42,0,MATCH(Report!$I$1,Months,0)+2,1,1),OFFSET(Actual!$B$42,0,MATCH(Report!$I$1,Months,0)+1,1,1))))</f>
        <v>9305</v>
      </c>
      <c r="E42" s="89">
        <f ca="1">C42-D42</f>
        <v>559.72180469631712</v>
      </c>
      <c r="F42" s="90">
        <f ca="1">IF(C42=0,IF(E42=0,0,-1),E42/ABS(C42))</f>
        <v>5.6739745507050111E-2</v>
      </c>
      <c r="G42" s="87">
        <f ca="1">IF(ISNA(MATCH(Report!$I$1,Months,0))=TRUE,0,IF(MATCH(Report!$I$1,Months,0)&lt;=12,SUM(OFFSET(Forecast!$B$42,0,MATCH(Report!$I$1,Months,0),1,-$I$2)),IF(MATCH(Report!$I$1,Months,0)&gt;=25,SUM(OFFSET(Forecast!$B$42,0,MATCH(Report!$I$1,Months,0)+2,1,-$I$2)),SUM(OFFSET(Forecast!$B$42,0,MATCH(Report!$I$1,Months,0)+1,1,-$I$2)))))</f>
        <v>57627.341601733177</v>
      </c>
      <c r="H42" s="88">
        <f ca="1">IF(ISNA(MATCH(Report!$I$1,Months,0))=TRUE,0,IF(MATCH(Report!$I$1,Months,0)&lt;=12,SUM(OFFSET(Actual!$B$42,0,MATCH(Report!$I$1,Months,0),1,-$I$2)),IF(MATCH(Report!$I$1,Months,0)&gt;=25,SUM(OFFSET(Actual!$B$42,0,MATCH(Report!$I$1,Months,0)+2,1,-$I$2)),SUM(OFFSET(Actual!$B$42,0,MATCH(Report!$I$1,Months,0)+1,1,-$I$2)))))</f>
        <v>54695</v>
      </c>
      <c r="I42" s="89">
        <f ca="1">G42-H42</f>
        <v>2932.3416017331765</v>
      </c>
      <c r="J42" s="90">
        <f ca="1">IF(G42=0,IF(I42=0,0,-1),I42/ABS(G42))</f>
        <v>5.0884554453314995E-2</v>
      </c>
    </row>
    <row r="43" spans="1:10" s="38" customFormat="1" ht="15" customHeight="1" x14ac:dyDescent="0.3">
      <c r="A43" s="91" t="s">
        <v>43</v>
      </c>
      <c r="B43" s="92"/>
      <c r="C43" s="87">
        <f ca="1">IF(ISNA(MATCH(Report!$I$1,Months,0))=TRUE,0,IF(MATCH(Report!$I$1,Months,0)&lt;=12,OFFSET(Forecast!$B$43,0,MATCH(Report!$I$1,Months,0),1,1),IF(MATCH(Report!$I$1,Months,0)&gt;=25,OFFSET(Forecast!$B$43,0,MATCH(Report!$I$1,Months,0)+2,1,1),OFFSET(Forecast!$B$43,0,MATCH(Report!$I$1,Months,0)+1,1,1))))</f>
        <v>5869.8112280183705</v>
      </c>
      <c r="D43" s="88">
        <f ca="1">IF(ISNA(MATCH(Report!$I$1,Months,0))=TRUE,0,IF(MATCH(Report!$I$1,Months,0)&lt;=12,OFFSET(Actual!$B$43,0,MATCH(Report!$I$1,Months,0),1,1),IF(MATCH(Report!$I$1,Months,0)&gt;=25,OFFSET(Actual!$B$43,0,MATCH(Report!$I$1,Months,0)+2,1,1),OFFSET(Actual!$B$43,0,MATCH(Report!$I$1,Months,0)+1,1,1))))</f>
        <v>4940</v>
      </c>
      <c r="E43" s="89">
        <f ca="1">C43-D43</f>
        <v>929.81122801837046</v>
      </c>
      <c r="F43" s="30">
        <f ca="1">IF(C43=0,IF(E43=0,0,-1),E43/ABS(C43))</f>
        <v>0.15840564404867102</v>
      </c>
      <c r="G43" s="87">
        <f ca="1">IF(ISNA(MATCH(Report!$I$1,Months,0))=TRUE,0,IF(MATCH(Report!$I$1,Months,0)&lt;=12,SUM(OFFSET(Forecast!$B$43,0,MATCH(Report!$I$1,Months,0),1,-$I$2)),IF(MATCH(Report!$I$1,Months,0)&gt;=25,SUM(OFFSET(Forecast!$B$43,0,MATCH(Report!$I$1,Months,0)+2,1,-$I$2)),SUM(OFFSET(Forecast!$B$43,0,MATCH(Report!$I$1,Months,0)+1,1,-$I$2)))))</f>
        <v>36853.411018181388</v>
      </c>
      <c r="H43" s="88">
        <f ca="1">IF(ISNA(MATCH(Report!$I$1,Months,0))=TRUE,0,IF(MATCH(Report!$I$1,Months,0)&lt;=12,SUM(OFFSET(Actual!$B$43,0,MATCH(Report!$I$1,Months,0),1,-$I$2)),IF(MATCH(Report!$I$1,Months,0)&gt;=25,SUM(OFFSET(Actual!$B$43,0,MATCH(Report!$I$1,Months,0)+2,1,-$I$2)),SUM(OFFSET(Actual!$B$43,0,MATCH(Report!$I$1,Months,0)+1,1,-$I$2)))))</f>
        <v>39350</v>
      </c>
      <c r="I43" s="89">
        <f ca="1">G43-H43</f>
        <v>-2496.5889818186115</v>
      </c>
      <c r="J43" s="30">
        <f ca="1">IF(G43=0,IF(I43=0,0,-1),I43/ABS(G43))</f>
        <v>-6.7743769513951793E-2</v>
      </c>
    </row>
    <row r="44" spans="1:10" ht="15" customHeight="1" x14ac:dyDescent="0.35">
      <c r="A44" s="43"/>
      <c r="B44" s="78"/>
      <c r="C44" s="23"/>
      <c r="D44" s="28"/>
      <c r="F44" s="30"/>
      <c r="G44" s="23"/>
      <c r="H44" s="28"/>
      <c r="I44" s="29"/>
      <c r="J44" s="30"/>
    </row>
    <row r="45" spans="1:10" s="47" customFormat="1" ht="15" customHeight="1" x14ac:dyDescent="0.35">
      <c r="A45" s="43" t="s">
        <v>81</v>
      </c>
      <c r="B45" s="78"/>
      <c r="C45" s="82">
        <f ca="1">SUM(C40,-C42,-C43)</f>
        <v>15093.800300618648</v>
      </c>
      <c r="D45" s="83">
        <f ca="1">SUM(D40,-D42,-D43)</f>
        <v>18108.5</v>
      </c>
      <c r="E45" s="16">
        <f ca="1">SUM(E40,E42,E43)</f>
        <v>3014.6996993813536</v>
      </c>
      <c r="F45" s="84">
        <f ca="1">IF(C45=0,IF(E45=0,0,-1),E45/ABS(C45))</f>
        <v>0.19973099148912091</v>
      </c>
      <c r="G45" s="82">
        <f ca="1">SUM(G40,-G42,-G43)</f>
        <v>94765.914046752092</v>
      </c>
      <c r="H45" s="83">
        <f ca="1">SUM(H40,-H42,-H43)</f>
        <v>101099.61999999988</v>
      </c>
      <c r="I45" s="16">
        <f ca="1">SUM(I40,I42,I43)</f>
        <v>6333.705953247787</v>
      </c>
      <c r="J45" s="84">
        <f ca="1">IF(G45=0,IF(I45=0,0,-1),I45/ABS(G45))</f>
        <v>6.6835275288149476E-2</v>
      </c>
    </row>
    <row r="46" spans="1:10" ht="15" customHeight="1" x14ac:dyDescent="0.3">
      <c r="C46" s="101"/>
      <c r="D46" s="102"/>
      <c r="E46" s="102"/>
      <c r="F46" s="103"/>
      <c r="G46" s="101"/>
      <c r="H46" s="102"/>
      <c r="I46" s="102"/>
      <c r="J46" s="103"/>
    </row>
    <row r="47" spans="1:10" s="32" customFormat="1" ht="15" customHeight="1" x14ac:dyDescent="0.3">
      <c r="A47" s="144"/>
      <c r="B47" s="145"/>
      <c r="C47" s="28"/>
      <c r="D47" s="28"/>
      <c r="E47" s="28"/>
      <c r="F47" s="146"/>
      <c r="G47" s="28"/>
      <c r="H47" s="28"/>
      <c r="I47" s="28"/>
      <c r="J47" s="146"/>
    </row>
    <row r="48" spans="1:10" s="72" customFormat="1" ht="18" customHeight="1" x14ac:dyDescent="0.35">
      <c r="A48" s="70"/>
      <c r="B48" s="71"/>
      <c r="C48" s="176" t="s">
        <v>55</v>
      </c>
      <c r="D48" s="177"/>
      <c r="E48" s="177"/>
      <c r="F48" s="178"/>
      <c r="G48" s="179" t="s">
        <v>75</v>
      </c>
      <c r="H48" s="180"/>
      <c r="I48" s="180"/>
      <c r="J48" s="181"/>
    </row>
    <row r="49" spans="1:10" s="77" customFormat="1" ht="18" customHeight="1" x14ac:dyDescent="0.35">
      <c r="A49" s="174" t="s">
        <v>113</v>
      </c>
      <c r="B49" s="175"/>
      <c r="C49" s="73" t="s">
        <v>57</v>
      </c>
      <c r="D49" s="74" t="s">
        <v>59</v>
      </c>
      <c r="E49" s="74" t="s">
        <v>60</v>
      </c>
      <c r="F49" s="75" t="s">
        <v>73</v>
      </c>
      <c r="G49" s="76" t="s">
        <v>57</v>
      </c>
      <c r="H49" s="53" t="s">
        <v>59</v>
      </c>
      <c r="I49" s="74" t="s">
        <v>60</v>
      </c>
      <c r="J49" s="75" t="s">
        <v>73</v>
      </c>
    </row>
    <row r="50" spans="1:10" ht="15" customHeight="1" x14ac:dyDescent="0.35">
      <c r="A50" s="47" t="s">
        <v>86</v>
      </c>
      <c r="C50" s="23"/>
      <c r="D50" s="28"/>
      <c r="F50" s="30"/>
      <c r="G50" s="23"/>
      <c r="H50" s="28"/>
      <c r="I50" s="29"/>
      <c r="J50" s="30"/>
    </row>
    <row r="51" spans="1:10" ht="15" customHeight="1" x14ac:dyDescent="0.3">
      <c r="A51" s="26" t="s">
        <v>81</v>
      </c>
      <c r="C51" s="23">
        <f ca="1">C45</f>
        <v>15093.800300618648</v>
      </c>
      <c r="D51" s="28">
        <f ca="1">D45</f>
        <v>18108.5</v>
      </c>
      <c r="E51" s="29">
        <f ca="1">D51-C51</f>
        <v>3014.6996993813518</v>
      </c>
      <c r="F51" s="30">
        <f ca="1">IF(C51=0,IF(E51=0,0,-1),E51/ABS(C51))</f>
        <v>0.19973099148912077</v>
      </c>
      <c r="G51" s="23">
        <f ca="1">G45</f>
        <v>94765.914046752092</v>
      </c>
      <c r="H51" s="28">
        <f ca="1">H45</f>
        <v>101099.61999999988</v>
      </c>
      <c r="I51" s="29">
        <f ca="1">H51-G51</f>
        <v>6333.705953247787</v>
      </c>
      <c r="J51" s="30">
        <f ca="1">IF(G51=0,IF(I51=0,0,-1),I51/ABS(G51))</f>
        <v>6.6835275288149476E-2</v>
      </c>
    </row>
    <row r="52" spans="1:10" ht="15" customHeight="1" x14ac:dyDescent="0.3">
      <c r="A52" s="26" t="s">
        <v>50</v>
      </c>
      <c r="C52" s="23">
        <f ca="1">C42</f>
        <v>9864.7218046963171</v>
      </c>
      <c r="D52" s="28">
        <f ca="1">D42</f>
        <v>9305</v>
      </c>
      <c r="E52" s="29">
        <f ca="1">D52-C52</f>
        <v>-559.72180469631712</v>
      </c>
      <c r="F52" s="30">
        <f ca="1">IF(C52=0,IF(E52=0,0,-1),E52/ABS(C52))</f>
        <v>-5.6739745507050111E-2</v>
      </c>
      <c r="G52" s="23">
        <f ca="1">G42</f>
        <v>57627.341601733177</v>
      </c>
      <c r="H52" s="28">
        <f ca="1">H42</f>
        <v>54695</v>
      </c>
      <c r="I52" s="29">
        <f ca="1">H52-G52</f>
        <v>-2932.3416017331765</v>
      </c>
      <c r="J52" s="30">
        <f ca="1">IF(G52=0,IF(I52=0,0,-1),I52/ABS(G52))</f>
        <v>-5.0884554453314995E-2</v>
      </c>
    </row>
    <row r="53" spans="1:10" ht="15" customHeight="1" x14ac:dyDescent="0.3">
      <c r="A53" s="26" t="s">
        <v>43</v>
      </c>
      <c r="C53" s="23">
        <f ca="1">C43</f>
        <v>5869.8112280183705</v>
      </c>
      <c r="D53" s="28">
        <f ca="1">D43</f>
        <v>4940</v>
      </c>
      <c r="E53" s="29">
        <f ca="1">D53-C53</f>
        <v>-929.81122801837046</v>
      </c>
      <c r="F53" s="30">
        <f ca="1">IF(C53=0,IF(E53=0,0,-1),E53/ABS(C53))</f>
        <v>-0.15840564404867102</v>
      </c>
      <c r="G53" s="23">
        <f ca="1">G43</f>
        <v>36853.411018181388</v>
      </c>
      <c r="H53" s="28">
        <f ca="1">H43</f>
        <v>39350</v>
      </c>
      <c r="I53" s="29">
        <f ca="1">H53-G53</f>
        <v>2496.5889818186115</v>
      </c>
      <c r="J53" s="30">
        <f ca="1">IF(G53=0,IF(I53=0,0,-1),I53/ABS(G53))</f>
        <v>6.7743769513951793E-2</v>
      </c>
    </row>
    <row r="54" spans="1:10" ht="15" customHeight="1" x14ac:dyDescent="0.35">
      <c r="A54" s="10" t="s">
        <v>87</v>
      </c>
      <c r="C54" s="23"/>
      <c r="D54" s="28"/>
      <c r="F54" s="30"/>
      <c r="G54" s="23"/>
      <c r="H54" s="28"/>
      <c r="I54" s="29"/>
      <c r="J54" s="30"/>
    </row>
    <row r="55" spans="1:10" ht="15" customHeight="1" x14ac:dyDescent="0.3">
      <c r="A55" s="5" t="s">
        <v>80</v>
      </c>
      <c r="C55" s="23">
        <f ca="1">C38</f>
        <v>15416.666666666666</v>
      </c>
      <c r="D55" s="28">
        <f ca="1">D38</f>
        <v>15400</v>
      </c>
      <c r="E55" s="29">
        <f ca="1">D55-C55</f>
        <v>-16.66666666666606</v>
      </c>
      <c r="F55" s="30">
        <f ca="1">IF(C55=0,IF(E55=0,0,-1),E55/ABS(C55))</f>
        <v>-1.0810810810810418E-3</v>
      </c>
      <c r="G55" s="23">
        <f ca="1">G38</f>
        <v>84583.333333333343</v>
      </c>
      <c r="H55" s="28">
        <f ca="1">H38</f>
        <v>83700</v>
      </c>
      <c r="I55" s="29">
        <f ca="1">H55-G55</f>
        <v>-883.33333333334303</v>
      </c>
      <c r="J55" s="30">
        <f ca="1">IF(G55=0,IF(I55=0,0,-1),I55/ABS(G55))</f>
        <v>-1.0443349753694695E-2</v>
      </c>
    </row>
    <row r="56" spans="1:10" s="47" customFormat="1" ht="15" customHeight="1" x14ac:dyDescent="0.35">
      <c r="A56" s="43" t="s">
        <v>88</v>
      </c>
      <c r="B56" s="78"/>
      <c r="C56" s="82"/>
      <c r="D56" s="83"/>
      <c r="E56" s="83"/>
      <c r="F56" s="84"/>
      <c r="G56" s="82"/>
      <c r="H56" s="83"/>
      <c r="I56" s="83"/>
      <c r="J56" s="84"/>
    </row>
    <row r="57" spans="1:10" ht="15" customHeight="1" x14ac:dyDescent="0.3">
      <c r="A57" s="3" t="s">
        <v>27</v>
      </c>
      <c r="C57" s="87">
        <f ca="1">IF(ISNA(MATCH(Report!$I$1,Months,0))=TRUE,0,IF(MATCH(Report!$I$1,Months,0)&lt;=12,OFFSET(Forecast!$B$59,0,MATCH(Report!$I$1,Months,0),1,1),IF(MATCH(Report!$I$1,Months,0)&gt;=25,OFFSET(Forecast!$B$59,0,MATCH(Report!$I$1,Months,0)+2,1,1),OFFSET(Forecast!$B$59,0,MATCH(Report!$I$1,Months,0)+1,1,1))))</f>
        <v>-7620.9677419354848</v>
      </c>
      <c r="D57" s="88">
        <f ca="1">IF(ISNA(MATCH(Report!$I$1,Months,0))=TRUE,0,IF(MATCH(Report!$I$1,Months,0)&lt;=12,OFFSET(Actual!$B$59,0,MATCH(Report!$I$1,Months,0),1,1),IF(MATCH(Report!$I$1,Months,0)&gt;=25,OFFSET(Actual!$B$59,0,MATCH(Report!$I$1,Months,0)+2,1,1),OFFSET(Actual!$B$59,0,MATCH(Report!$I$1,Months,0)+1,1,1))))</f>
        <v>-10000</v>
      </c>
      <c r="E57" s="28">
        <f ca="1">D57-C57</f>
        <v>-2379.0322580645152</v>
      </c>
      <c r="F57" s="30">
        <f t="shared" ref="F57:F63" ca="1" si="4">IF(C57=0,IF(E57=0,0,-1),E57/ABS(C57))</f>
        <v>-0.31216931216931199</v>
      </c>
      <c r="G57" s="87">
        <f ca="1">IF(ISNA(MATCH(Report!$I$1,Months,0))=TRUE,0,IF(MATCH(Report!$I$1,Months,0)&lt;=12,SUM(OFFSET(Forecast!$B$59,0,MATCH(Report!$I$1,Months,0),1,-$I$2)),IF(MATCH(Report!$I$1,Months,0)&gt;=25,SUM(OFFSET(Forecast!$B$59,0,MATCH(Report!$I$1,Months,0)+2,1,-$I$2)),SUM(OFFSET(Forecast!$B$59,0,MATCH(Report!$I$1,Months,0)+1,1,-$I$2)))))</f>
        <v>-22580.645161290304</v>
      </c>
      <c r="H57" s="88">
        <f ca="1">IF(ISNA(MATCH(Report!$I$1,Months,0))=TRUE,0,IF(MATCH(Report!$I$1,Months,0)&lt;=12,SUM(OFFSET(Actual!$B$59,0,MATCH(Report!$I$1,Months,0),1,-$I$2)),IF(MATCH(Report!$I$1,Months,0)&gt;=25,SUM(OFFSET(Actual!$B$59,0,MATCH(Report!$I$1,Months,0)+2,1,-$I$2)),SUM(OFFSET(Actual!$B$59,0,MATCH(Report!$I$1,Months,0)+1,1,-$I$2)))))</f>
        <v>-25000</v>
      </c>
      <c r="I57" s="28">
        <f ca="1">H57-G57</f>
        <v>-2419.3548387096962</v>
      </c>
      <c r="J57" s="30">
        <f t="shared" ref="J57:J63" ca="1" si="5">IF(G57=0,IF(I57=0,0,-1),I57/ABS(G57))</f>
        <v>-0.10714285714285807</v>
      </c>
    </row>
    <row r="58" spans="1:10" ht="15" customHeight="1" x14ac:dyDescent="0.3">
      <c r="A58" s="3" t="s">
        <v>89</v>
      </c>
      <c r="C58" s="87">
        <f ca="1">IF(ISNA(MATCH(Report!$I$1,Months,0))=TRUE,0,IF(MATCH(Report!$I$1,Months,0)&lt;=12,OFFSET(Forecast!$B$60,0,MATCH(Report!$I$1,Months,0),1,1),IF(MATCH(Report!$I$1,Months,0)&gt;=25,OFFSET(Forecast!$B$60,0,MATCH(Report!$I$1,Months,0)+2,1,1),OFFSET(Forecast!$B$60,0,MATCH(Report!$I$1,Months,0)+1,1,1))))</f>
        <v>-14516.129032258061</v>
      </c>
      <c r="D58" s="88">
        <f ca="1">IF(ISNA(MATCH(Report!$I$1,Months,0))=TRUE,0,IF(MATCH(Report!$I$1,Months,0)&lt;=12,OFFSET(Actual!$B$60,0,MATCH(Report!$I$1,Months,0),1,1),IF(MATCH(Report!$I$1,Months,0)&gt;=25,OFFSET(Actual!$B$60,0,MATCH(Report!$I$1,Months,0)+2,1,1),OFFSET(Actual!$B$60,0,MATCH(Report!$I$1,Months,0)+1,1,1))))</f>
        <v>-7698</v>
      </c>
      <c r="E58" s="28">
        <f ca="1">D58-C58</f>
        <v>6818.1290322580608</v>
      </c>
      <c r="F58" s="30">
        <f t="shared" ca="1" si="4"/>
        <v>0.46969333333333319</v>
      </c>
      <c r="G58" s="87">
        <f ca="1">IF(ISNA(MATCH(Report!$I$1,Months,0))=TRUE,0,IF(MATCH(Report!$I$1,Months,0)&lt;=12,SUM(OFFSET(Forecast!$B$60,0,MATCH(Report!$I$1,Months,0),1,-$I$2)),IF(MATCH(Report!$I$1,Months,0)&gt;=25,SUM(OFFSET(Forecast!$B$60,0,MATCH(Report!$I$1,Months,0)+2,1,-$I$2)),SUM(OFFSET(Forecast!$B$60,0,MATCH(Report!$I$1,Months,0)+1,1,-$I$2)))))</f>
        <v>-59677.419354838668</v>
      </c>
      <c r="H58" s="88">
        <f ca="1">IF(ISNA(MATCH(Report!$I$1,Months,0))=TRUE,0,IF(MATCH(Report!$I$1,Months,0)&lt;=12,SUM(OFFSET(Actual!$B$60,0,MATCH(Report!$I$1,Months,0),1,-$I$2)),IF(MATCH(Report!$I$1,Months,0)&gt;=25,SUM(OFFSET(Actual!$B$60,0,MATCH(Report!$I$1,Months,0)+2,1,-$I$2)),SUM(OFFSET(Actual!$B$60,0,MATCH(Report!$I$1,Months,0)+1,1,-$I$2)))))</f>
        <v>-58700</v>
      </c>
      <c r="I58" s="28">
        <f ca="1">H58-G58</f>
        <v>977.41935483866837</v>
      </c>
      <c r="J58" s="30">
        <f t="shared" ca="1" si="5"/>
        <v>1.6378378378377696E-2</v>
      </c>
    </row>
    <row r="59" spans="1:10" ht="15" customHeight="1" x14ac:dyDescent="0.3">
      <c r="A59" s="3" t="s">
        <v>90</v>
      </c>
      <c r="C59" s="87">
        <f ca="1">IF(ISNA(MATCH(Report!$I$1,Months,0))=TRUE,0,IF(MATCH(Report!$I$1,Months,0)&lt;=12,OFFSET(Forecast!$B$61,0,MATCH(Report!$I$1,Months,0),1,1),IF(MATCH(Report!$I$1,Months,0)&gt;=25,OFFSET(Forecast!$B$61,0,MATCH(Report!$I$1,Months,0)+2,1,1),OFFSET(Forecast!$B$61,0,MATCH(Report!$I$1,Months,0)+1,1,1))))</f>
        <v>6856.4516129032272</v>
      </c>
      <c r="D59" s="88">
        <f ca="1">IF(ISNA(MATCH(Report!$I$1,Months,0))=TRUE,0,IF(MATCH(Report!$I$1,Months,0)&lt;=12,OFFSET(Actual!$B$61,0,MATCH(Report!$I$1,Months,0),1,1),IF(MATCH(Report!$I$1,Months,0)&gt;=25,OFFSET(Actual!$B$61,0,MATCH(Report!$I$1,Months,0)+2,1,1),OFFSET(Actual!$B$61,0,MATCH(Report!$I$1,Months,0)+1,1,1))))</f>
        <v>7311</v>
      </c>
      <c r="E59" s="28">
        <f ca="1">D59-C59</f>
        <v>454.54838709677279</v>
      </c>
      <c r="F59" s="30">
        <f t="shared" ca="1" si="4"/>
        <v>6.6294989414255254E-2</v>
      </c>
      <c r="G59" s="87">
        <f ca="1">IF(ISNA(MATCH(Report!$I$1,Months,0))=TRUE,0,IF(MATCH(Report!$I$1,Months,0)&lt;=12,SUM(OFFSET(Forecast!$B$61,0,MATCH(Report!$I$1,Months,0),1,-$I$2)),IF(MATCH(Report!$I$1,Months,0)&gt;=25,SUM(OFFSET(Forecast!$B$61,0,MATCH(Report!$I$1,Months,0)+2,1,-$I$2)),SUM(OFFSET(Forecast!$B$61,0,MATCH(Report!$I$1,Months,0)+1,1,-$I$2)))))</f>
        <v>22462.096774193546</v>
      </c>
      <c r="H59" s="88">
        <f ca="1">IF(ISNA(MATCH(Report!$I$1,Months,0))=TRUE,0,IF(MATCH(Report!$I$1,Months,0)&lt;=12,SUM(OFFSET(Actual!$B$61,0,MATCH(Report!$I$1,Months,0),1,-$I$2)),IF(MATCH(Report!$I$1,Months,0)&gt;=25,SUM(OFFSET(Actual!$B$61,0,MATCH(Report!$I$1,Months,0)+2,1,-$I$2)),SUM(OFFSET(Actual!$B$61,0,MATCH(Report!$I$1,Months,0)+1,1,-$I$2)))))</f>
        <v>200</v>
      </c>
      <c r="I59" s="28">
        <f ca="1">H59-G59</f>
        <v>-22262.096774193546</v>
      </c>
      <c r="J59" s="30">
        <f t="shared" ca="1" si="5"/>
        <v>-0.99109611172943668</v>
      </c>
    </row>
    <row r="60" spans="1:10" s="10" customFormat="1" ht="15" customHeight="1" x14ac:dyDescent="0.35">
      <c r="A60" s="11" t="s">
        <v>91</v>
      </c>
      <c r="B60" s="149"/>
      <c r="C60" s="150">
        <f ca="1">SUM(C51:C59)</f>
        <v>30964.354838709682</v>
      </c>
      <c r="D60" s="151">
        <f ca="1">SUM(D51:D59)</f>
        <v>37366.5</v>
      </c>
      <c r="E60" s="152">
        <f ca="1">SUM(E51:E59)</f>
        <v>6402.1451612903165</v>
      </c>
      <c r="F60" s="153">
        <f t="shared" ca="1" si="4"/>
        <v>0.20675855171659377</v>
      </c>
      <c r="G60" s="150">
        <f ca="1">SUM(G51:G59)</f>
        <v>214034.03225806457</v>
      </c>
      <c r="H60" s="151">
        <f ca="1">SUM(H51:H59)</f>
        <v>195344.61999999988</v>
      </c>
      <c r="I60" s="152">
        <f ca="1">SUM(I51:I59)</f>
        <v>-18689.412258064694</v>
      </c>
      <c r="J60" s="153">
        <f t="shared" ca="1" si="5"/>
        <v>-8.731981573626825E-2</v>
      </c>
    </row>
    <row r="61" spans="1:10" ht="15" customHeight="1" x14ac:dyDescent="0.3">
      <c r="A61" s="3" t="s">
        <v>92</v>
      </c>
      <c r="C61" s="87">
        <f ca="1">-C52</f>
        <v>-9864.7218046963171</v>
      </c>
      <c r="D61" s="88">
        <f ca="1">-D52</f>
        <v>-9305</v>
      </c>
      <c r="E61" s="28">
        <f ca="1">D61-C61</f>
        <v>559.72180469631712</v>
      </c>
      <c r="F61" s="30">
        <f t="shared" ca="1" si="4"/>
        <v>5.6739745507050111E-2</v>
      </c>
      <c r="G61" s="87">
        <f ca="1">-G52</f>
        <v>-57627.341601733177</v>
      </c>
      <c r="H61" s="88">
        <f ca="1">-H52</f>
        <v>-54695</v>
      </c>
      <c r="I61" s="28">
        <f ca="1">H61-G61</f>
        <v>2932.3416017331765</v>
      </c>
      <c r="J61" s="30">
        <f t="shared" ca="1" si="5"/>
        <v>5.0884554453314995E-2</v>
      </c>
    </row>
    <row r="62" spans="1:10" ht="15" customHeight="1" x14ac:dyDescent="0.3">
      <c r="A62" s="3" t="s">
        <v>93</v>
      </c>
      <c r="C62" s="87">
        <f ca="1">IF(ISNA(MATCH(Report!$I$1,Months,0))=TRUE,0,IF(MATCH(Report!$I$1,Months,0)&lt;=12,OFFSET(Forecast!$B$64,0,MATCH(Report!$I$1,Months,0),1,1),IF(MATCH(Report!$I$1,Months,0)&gt;=25,OFFSET(Forecast!$B$64,0,MATCH(Report!$I$1,Months,0)+2,1,1),OFFSET(Forecast!$B$64,0,MATCH(Report!$I$1,Months,0)+1,1,1))))</f>
        <v>-36853.411018181388</v>
      </c>
      <c r="D62" s="88">
        <f ca="1">IF(ISNA(MATCH(Report!$I$1,Months,0))=TRUE,0,IF(MATCH(Report!$I$1,Months,0)&lt;=12,OFFSET(Actual!$B$64,0,MATCH(Report!$I$1,Months,0),1,1),IF(MATCH(Report!$I$1,Months,0)&gt;=25,OFFSET(Actual!$B$64,0,MATCH(Report!$I$1,Months,0)+2,1,1),OFFSET(Actual!$B$64,0,MATCH(Report!$I$1,Months,0)+1,1,1))))</f>
        <v>-39350</v>
      </c>
      <c r="E62" s="28">
        <f ca="1">D62-C62</f>
        <v>-2496.5889818186115</v>
      </c>
      <c r="F62" s="30">
        <f t="shared" ca="1" si="4"/>
        <v>-6.7743769513951793E-2</v>
      </c>
      <c r="G62" s="87">
        <f ca="1">IF(ISNA(MATCH(Report!$I$1,Months,0))=TRUE,0,IF(MATCH(Report!$I$1,Months,0)&lt;=12,SUM(OFFSET(Forecast!$B$64,0,MATCH(Report!$I$1,Months,0),1,-$I$2)),IF(MATCH(Report!$I$1,Months,0)&gt;=25,SUM(OFFSET(Forecast!$B$64,0,MATCH(Report!$I$1,Months,0)+2,1,-$I$2)),SUM(OFFSET(Forecast!$B$64,0,MATCH(Report!$I$1,Months,0)+1,1,-$I$2)))))</f>
        <v>-36853.411018181388</v>
      </c>
      <c r="H62" s="88">
        <f ca="1">IF(ISNA(MATCH(Report!$I$1,Months,0))=TRUE,0,IF(MATCH(Report!$I$1,Months,0)&lt;=12,SUM(OFFSET(Actual!$B$64,0,MATCH(Report!$I$1,Months,0),1,-$I$2)),IF(MATCH(Report!$I$1,Months,0)&gt;=25,SUM(OFFSET(Actual!$B$64,0,MATCH(Report!$I$1,Months,0)+2,1,-$I$2)),SUM(OFFSET(Actual!$B$64,0,MATCH(Report!$I$1,Months,0)+1,1,-$I$2)))))</f>
        <v>-39350</v>
      </c>
      <c r="I62" s="28">
        <f ca="1">H62-G62</f>
        <v>-2496.5889818186115</v>
      </c>
      <c r="J62" s="30">
        <f t="shared" ca="1" si="5"/>
        <v>-6.7743769513951793E-2</v>
      </c>
    </row>
    <row r="63" spans="1:10" s="10" customFormat="1" ht="15" customHeight="1" x14ac:dyDescent="0.35">
      <c r="A63" s="11" t="s">
        <v>94</v>
      </c>
      <c r="B63" s="149"/>
      <c r="C63" s="154">
        <f ca="1">SUM(C60:C62)</f>
        <v>-15753.777984168024</v>
      </c>
      <c r="D63" s="155">
        <f t="shared" ref="D63:I63" ca="1" si="6">SUM(D60:D62)</f>
        <v>-11288.5</v>
      </c>
      <c r="E63" s="156">
        <f t="shared" ca="1" si="6"/>
        <v>4465.2779841680222</v>
      </c>
      <c r="F63" s="157">
        <f t="shared" ca="1" si="4"/>
        <v>0.28344172354437552</v>
      </c>
      <c r="G63" s="154">
        <f t="shared" ca="1" si="6"/>
        <v>119553.27963815001</v>
      </c>
      <c r="H63" s="155">
        <f t="shared" ca="1" si="6"/>
        <v>101299.61999999988</v>
      </c>
      <c r="I63" s="156">
        <f t="shared" ca="1" si="6"/>
        <v>-18253.659638150129</v>
      </c>
      <c r="J63" s="157">
        <f t="shared" ca="1" si="5"/>
        <v>-0.15268221577357133</v>
      </c>
    </row>
    <row r="64" spans="1:10" ht="15" customHeight="1" x14ac:dyDescent="0.3">
      <c r="C64" s="87"/>
      <c r="D64" s="88"/>
      <c r="E64" s="28"/>
      <c r="F64" s="30"/>
      <c r="G64" s="87"/>
      <c r="H64" s="88"/>
      <c r="I64" s="28"/>
      <c r="J64" s="30"/>
    </row>
    <row r="65" spans="1:10" s="47" customFormat="1" ht="15" customHeight="1" x14ac:dyDescent="0.35">
      <c r="A65" s="43" t="s">
        <v>95</v>
      </c>
      <c r="B65" s="78"/>
      <c r="C65" s="159"/>
      <c r="D65" s="160"/>
      <c r="E65" s="83"/>
      <c r="F65" s="84"/>
      <c r="G65" s="159"/>
      <c r="H65" s="160"/>
      <c r="I65" s="83"/>
      <c r="J65" s="84"/>
    </row>
    <row r="66" spans="1:10" ht="15" customHeight="1" x14ac:dyDescent="0.3">
      <c r="A66" s="26" t="s">
        <v>96</v>
      </c>
      <c r="C66" s="23">
        <f ca="1">IF(ISNA(MATCH(Report!$I$1,Months,0))=TRUE,0,IF(MATCH(Report!$I$1,Months,0)&lt;=12,OFFSET(Forecast!$B$68,0,MATCH(Report!$I$1,Months,0),1,1),IF(MATCH(Report!$I$1,Months,0)&gt;=25,OFFSET(Forecast!$B$68,0,MATCH(Report!$I$1,Months,0)+2,1,1),OFFSET(Forecast!$B$68,0,MATCH(Report!$I$1,Months,0)+1,1,1))))</f>
        <v>-75000</v>
      </c>
      <c r="D66" s="28">
        <f ca="1">IF(ISNA(MATCH(Report!$I$1,Months,0))=TRUE,0,IF(MATCH(Report!$I$1,Months,0)&lt;=12,OFFSET(Actual!$B$68,0,MATCH(Report!$I$1,Months,0),1,1),IF(MATCH(Report!$I$1,Months,0)&gt;=25,OFFSET(Actual!$B$68,0,MATCH(Report!$I$1,Months,0)+2,1,1),OFFSET(Actual!$B$68,0,MATCH(Report!$I$1,Months,0)+1,1,1))))</f>
        <v>0</v>
      </c>
      <c r="E66" s="28">
        <f ca="1">D66-C66</f>
        <v>75000</v>
      </c>
      <c r="F66" s="30">
        <f ca="1">IF(C66=0,IF(E66=0,0,-1),E66/ABS(C66))</f>
        <v>1</v>
      </c>
      <c r="G66" s="23">
        <f ca="1">IF(ISNA(MATCH(Report!$I$1,Months,0))=TRUE,0,IF(MATCH(Report!$I$1,Months,0)&lt;=12,SUM(OFFSET(Forecast!$B$68,0,MATCH(Report!$I$1,Months,0),1,-$I$2)),IF(MATCH(Report!$I$1,Months,0)&gt;=25,SUM(OFFSET(Forecast!$B$68,0,MATCH(Report!$I$1,Months,0)+2,1,-$I$2)),SUM(OFFSET(Forecast!$B$68,0,MATCH(Report!$I$1,Months,0)+1,1,-$I$2)))))</f>
        <v>-125000</v>
      </c>
      <c r="H66" s="28">
        <f ca="1">IF(ISNA(MATCH(Report!$I$1,Months,0))=TRUE,0,IF(MATCH(Report!$I$1,Months,0)&lt;=12,SUM(OFFSET(Actual!$B$68,0,MATCH(Report!$I$1,Months,0),1,-$I$2)),IF(MATCH(Report!$I$1,Months,0)&gt;=25,SUM(OFFSET(Actual!$B$68,0,MATCH(Report!$I$1,Months,0)+2,1,-$I$2)),SUM(OFFSET(Actual!$B$68,0,MATCH(Report!$I$1,Months,0)+1,1,-$I$2)))))</f>
        <v>-102000</v>
      </c>
      <c r="I66" s="28">
        <f ca="1">H66-G66</f>
        <v>23000</v>
      </c>
      <c r="J66" s="30">
        <f ca="1">IF(G66=0,IF(I66=0,0,-1),I66/ABS(G66))</f>
        <v>0.184</v>
      </c>
    </row>
    <row r="67" spans="1:10" s="10" customFormat="1" ht="15" customHeight="1" x14ac:dyDescent="0.35">
      <c r="A67" s="11" t="s">
        <v>97</v>
      </c>
      <c r="B67" s="149"/>
      <c r="C67" s="154">
        <f ca="1">SUM(C66)</f>
        <v>-75000</v>
      </c>
      <c r="D67" s="155">
        <f ca="1">SUM(D66)</f>
        <v>0</v>
      </c>
      <c r="E67" s="156">
        <f ca="1">SUM(E66)</f>
        <v>75000</v>
      </c>
      <c r="F67" s="157">
        <f ca="1">IF(C67=0,IF(E67=0,0,-1),E67/ABS(C67))</f>
        <v>1</v>
      </c>
      <c r="G67" s="154">
        <f ca="1">SUM(G66)</f>
        <v>-125000</v>
      </c>
      <c r="H67" s="155">
        <f ca="1">SUM(H66)</f>
        <v>-102000</v>
      </c>
      <c r="I67" s="156">
        <f ca="1">SUM(I66)</f>
        <v>23000</v>
      </c>
      <c r="J67" s="157">
        <f ca="1">IF(G67=0,IF(I67=0,0,-1),I67/ABS(G67))</f>
        <v>0.184</v>
      </c>
    </row>
    <row r="68" spans="1:10" ht="15" customHeight="1" x14ac:dyDescent="0.3">
      <c r="C68" s="23"/>
      <c r="D68" s="28"/>
      <c r="F68" s="30"/>
      <c r="G68" s="23"/>
      <c r="H68" s="28"/>
      <c r="I68" s="29"/>
      <c r="J68" s="30"/>
    </row>
    <row r="69" spans="1:10" s="95" customFormat="1" ht="15" customHeight="1" x14ac:dyDescent="0.35">
      <c r="A69" s="93" t="s">
        <v>98</v>
      </c>
      <c r="B69" s="94"/>
      <c r="C69" s="82"/>
      <c r="D69" s="83"/>
      <c r="E69" s="83"/>
      <c r="F69" s="84"/>
      <c r="G69" s="82"/>
      <c r="H69" s="83"/>
      <c r="I69" s="83"/>
      <c r="J69" s="84"/>
    </row>
    <row r="70" spans="1:10" ht="15" customHeight="1" x14ac:dyDescent="0.3">
      <c r="A70" s="3" t="s">
        <v>99</v>
      </c>
      <c r="C70" s="23">
        <f ca="1">IF(ISNA(MATCH(Report!$I$1,Months,0))=TRUE,0,IF(MATCH(Report!$I$1,Months,0)&lt;=12,OFFSET(Forecast!$B$72,0,MATCH(Report!$I$1,Months,0),1,1),IF(MATCH(Report!$I$1,Months,0)&gt;=25,OFFSET(Forecast!$B$72,0,MATCH(Report!$I$1,Months,0)+2,1,1),OFFSET(Forecast!$B$72,0,MATCH(Report!$I$1,Months,0)+1,1,1))))</f>
        <v>0</v>
      </c>
      <c r="D70" s="28">
        <f ca="1">IF(ISNA(MATCH(Report!$I$1,Months,0))=TRUE,0,IF(MATCH(Report!$I$1,Months,0)&lt;=12,OFFSET(Actual!$B$72,0,MATCH(Report!$I$1,Months,0),1,1),IF(MATCH(Report!$I$1,Months,0)&gt;=25,OFFSET(Actual!$B$72,0,MATCH(Report!$I$1,Months,0)+2,1,1),OFFSET(Actual!$B$72,0,MATCH(Report!$I$1,Months,0)+1,1,1))))</f>
        <v>0</v>
      </c>
      <c r="E70" s="28">
        <f ca="1">D70-C70</f>
        <v>0</v>
      </c>
      <c r="F70" s="30">
        <f ca="1">IF(C70=0,IF(E70=0,0,-1),E70/ABS(C70))</f>
        <v>0</v>
      </c>
      <c r="G70" s="23">
        <f ca="1">IF(ISNA(MATCH(Report!$I$1,Months,0))=TRUE,0,IF(MATCH(Report!$I$1,Months,0)&lt;=12,SUM(OFFSET(Forecast!$B$72,0,MATCH(Report!$I$1,Months,0),1,-$I$2)),IF(MATCH(Report!$I$1,Months,0)&gt;=25,SUM(OFFSET(Forecast!$B$72,0,MATCH(Report!$I$1,Months,0)+2,1,-$I$2)),SUM(OFFSET(Forecast!$B$72,0,MATCH(Report!$I$1,Months,0)+1,1,-$I$2)))))</f>
        <v>500</v>
      </c>
      <c r="H70" s="28">
        <f ca="1">IF(ISNA(MATCH(Report!$I$1,Months,0))=TRUE,0,IF(MATCH(Report!$I$1,Months,0)&lt;=12,SUM(OFFSET(Actual!$B$72,0,MATCH(Report!$I$1,Months,0),1,-$I$2)),IF(MATCH(Report!$I$1,Months,0)&gt;=25,SUM(OFFSET(Actual!$B$72,0,MATCH(Report!$I$1,Months,0)+2,1,-$I$2)),SUM(OFFSET(Actual!$B$72,0,MATCH(Report!$I$1,Months,0)+1,1,-$I$2)))))</f>
        <v>500</v>
      </c>
      <c r="I70" s="28">
        <f ca="1">H70-G70</f>
        <v>0</v>
      </c>
      <c r="J70" s="30">
        <f ca="1">IF(G70=0,IF(I70=0,0,-1),I70/ABS(G70))</f>
        <v>0</v>
      </c>
    </row>
    <row r="71" spans="1:10" ht="15" customHeight="1" x14ac:dyDescent="0.3">
      <c r="A71" s="3" t="s">
        <v>100</v>
      </c>
      <c r="C71" s="23">
        <f ca="1">IF(ISNA(MATCH(Report!$I$1,Months,0))=TRUE,0,IF(MATCH(Report!$I$1,Months,0)&lt;=12,OFFSET(Forecast!$B$73,0,MATCH(Report!$I$1,Months,0),1,1),IF(MATCH(Report!$I$1,Months,0)&gt;=25,OFFSET(Forecast!$B$73,0,MATCH(Report!$I$1,Months,0)+2,1,1),OFFSET(Forecast!$B$73,0,MATCH(Report!$I$1,Months,0)+1,1,1))))</f>
        <v>0</v>
      </c>
      <c r="D71" s="28">
        <f ca="1">IF(ISNA(MATCH(Report!$I$1,Months,0))=TRUE,0,IF(MATCH(Report!$I$1,Months,0)&lt;=12,OFFSET(Actual!$B$73,0,MATCH(Report!$I$1,Months,0),1,1),IF(MATCH(Report!$I$1,Months,0)&gt;=25,OFFSET(Actual!$B$73,0,MATCH(Report!$I$1,Months,0)+2,1,1),OFFSET(Actual!$B$73,0,MATCH(Report!$I$1,Months,0)+1,1,1))))</f>
        <v>0</v>
      </c>
      <c r="E71" s="28">
        <f ca="1">D71-C71</f>
        <v>0</v>
      </c>
      <c r="F71" s="30">
        <f ca="1">IF(C71=0,IF(E71=0,0,-1),E71/ABS(C71))</f>
        <v>0</v>
      </c>
      <c r="G71" s="23">
        <f ca="1">IF(ISNA(MATCH(Report!$I$1,Months,0))=TRUE,0,IF(MATCH(Report!$I$1,Months,0)&lt;=12,SUM(OFFSET(Forecast!$B$73,0,MATCH(Report!$I$1,Months,0),1,-$I$2)),IF(MATCH(Report!$I$1,Months,0)&gt;=25,SUM(OFFSET(Forecast!$B$73,0,MATCH(Report!$I$1,Months,0)+2,1,-$I$2)),SUM(OFFSET(Forecast!$B$73,0,MATCH(Report!$I$1,Months,0)+1,1,-$I$2)))))</f>
        <v>100000</v>
      </c>
      <c r="H71" s="28">
        <f ca="1">IF(ISNA(MATCH(Report!$I$1,Months,0))=TRUE,0,IF(MATCH(Report!$I$1,Months,0)&lt;=12,SUM(OFFSET(Actual!$B$73,0,MATCH(Report!$I$1,Months,0),1,-$I$2)),IF(MATCH(Report!$I$1,Months,0)&gt;=25,SUM(OFFSET(Actual!$B$73,0,MATCH(Report!$I$1,Months,0)+2,1,-$I$2)),SUM(OFFSET(Actual!$B$73,0,MATCH(Report!$I$1,Months,0)+1,1,-$I$2)))))</f>
        <v>90000</v>
      </c>
      <c r="I71" s="28">
        <f ca="1">H71-G71</f>
        <v>-10000</v>
      </c>
      <c r="J71" s="30">
        <f ca="1">IF(G71=0,IF(I71=0,0,-1),I71/ABS(G71))</f>
        <v>-0.1</v>
      </c>
    </row>
    <row r="72" spans="1:10" ht="15" customHeight="1" x14ac:dyDescent="0.3">
      <c r="A72" s="3" t="s">
        <v>101</v>
      </c>
      <c r="C72" s="23">
        <f ca="1">IF(ISNA(MATCH(Report!$I$1,Months,0))=TRUE,0,IF(MATCH(Report!$I$1,Months,0)&lt;=12,OFFSET(Forecast!$B$74,0,MATCH(Report!$I$1,Months,0),1,1),IF(MATCH(Report!$I$1,Months,0)&gt;=25,OFFSET(Forecast!$B$74,0,MATCH(Report!$I$1,Months,0)+2,1,1),OFFSET(Forecast!$B$74,0,MATCH(Report!$I$1,Months,0)+1,1,1))))</f>
        <v>-15927.958649044635</v>
      </c>
      <c r="D72" s="28">
        <f ca="1">IF(ISNA(MATCH(Report!$I$1,Months,0))=TRUE,0,IF(MATCH(Report!$I$1,Months,0)&lt;=12,OFFSET(Actual!$B$74,0,MATCH(Report!$I$1,Months,0),1,1),IF(MATCH(Report!$I$1,Months,0)&gt;=25,OFFSET(Actual!$B$74,0,MATCH(Report!$I$1,Months,0)+2,1,1),OFFSET(Actual!$B$74,0,MATCH(Report!$I$1,Months,0)+1,1,1))))</f>
        <v>-15979</v>
      </c>
      <c r="E72" s="28">
        <f ca="1">D72-C72</f>
        <v>-51.041350955365488</v>
      </c>
      <c r="F72" s="30">
        <f ca="1">IF(C72=0,IF(E72=0,0,-1),E72/ABS(C72))</f>
        <v>-3.2045130251783377E-3</v>
      </c>
      <c r="G72" s="23">
        <f ca="1">IF(ISNA(MATCH(Report!$I$1,Months,0))=TRUE,0,IF(MATCH(Report!$I$1,Months,0)&lt;=12,SUM(OFFSET(Forecast!$B$74,0,MATCH(Report!$I$1,Months,0),1,-$I$2)),IF(MATCH(Report!$I$1,Months,0)&gt;=25,SUM(OFFSET(Forecast!$B$74,0,MATCH(Report!$I$1,Months,0)+2,1,-$I$2)),SUM(OFFSET(Forecast!$B$74,0,MATCH(Report!$I$1,Months,0)+1,1,-$I$2)))))</f>
        <v>-88531.180969465568</v>
      </c>
      <c r="H72" s="28">
        <f ca="1">IF(ISNA(MATCH(Report!$I$1,Months,0))=TRUE,0,IF(MATCH(Report!$I$1,Months,0)&lt;=12,SUM(OFFSET(Actual!$B$74,0,MATCH(Report!$I$1,Months,0),1,-$I$2)),IF(MATCH(Report!$I$1,Months,0)&gt;=25,SUM(OFFSET(Actual!$B$74,0,MATCH(Report!$I$1,Months,0)+2,1,-$I$2)),SUM(OFFSET(Actual!$B$74,0,MATCH(Report!$I$1,Months,0)+1,1,-$I$2)))))</f>
        <v>-89360</v>
      </c>
      <c r="I72" s="28">
        <f ca="1">H72-G72</f>
        <v>-828.81903053443239</v>
      </c>
      <c r="J72" s="30">
        <f ca="1">IF(G72=0,IF(I72=0,0,-1),I72/ABS(G72))</f>
        <v>-9.361888336497988E-3</v>
      </c>
    </row>
    <row r="73" spans="1:10" s="10" customFormat="1" ht="15" customHeight="1" x14ac:dyDescent="0.35">
      <c r="A73" s="97" t="s">
        <v>102</v>
      </c>
      <c r="B73" s="149"/>
      <c r="C73" s="161">
        <f ca="1">SUM(C70:C72)</f>
        <v>-15927.958649044635</v>
      </c>
      <c r="D73" s="156">
        <f ca="1">SUM(D70:D72)</f>
        <v>-15979</v>
      </c>
      <c r="E73" s="156">
        <f ca="1">SUM(E70:E72)</f>
        <v>-51.041350955365488</v>
      </c>
      <c r="F73" s="157">
        <f ca="1">IF(C73=0,IF(E73=0,0,-1),E73/ABS(C73))</f>
        <v>-3.2045130251783377E-3</v>
      </c>
      <c r="G73" s="161">
        <f ca="1">SUM(G70:G72)</f>
        <v>11968.819030534432</v>
      </c>
      <c r="H73" s="156">
        <f ca="1">SUM(H70:H72)</f>
        <v>1140</v>
      </c>
      <c r="I73" s="156">
        <f ca="1">SUM(I70:I72)</f>
        <v>-10828.819030534432</v>
      </c>
      <c r="J73" s="157">
        <f ca="1">IF(G73=0,IF(I73=0,0,-1),I73/ABS(G73))</f>
        <v>-0.90475250757057379</v>
      </c>
    </row>
    <row r="74" spans="1:10" ht="15" customHeight="1" x14ac:dyDescent="0.3">
      <c r="C74" s="23"/>
      <c r="D74" s="28"/>
      <c r="F74" s="30"/>
      <c r="G74" s="23"/>
      <c r="H74" s="28"/>
      <c r="I74" s="29"/>
      <c r="J74" s="30"/>
    </row>
    <row r="75" spans="1:10" ht="15" customHeight="1" x14ac:dyDescent="0.3">
      <c r="A75" s="3" t="s">
        <v>103</v>
      </c>
      <c r="B75" s="162"/>
      <c r="C75" s="23">
        <f ca="1">SUM(C63,C67,C73)</f>
        <v>-106681.73663321267</v>
      </c>
      <c r="D75" s="28">
        <f ca="1">SUM(D63,D67,D73)</f>
        <v>-27267.5</v>
      </c>
      <c r="E75" s="28">
        <f ca="1">SUM(E63,E67,E73)</f>
        <v>79414.236633212655</v>
      </c>
      <c r="F75" s="30">
        <f ca="1">IF(C75=0,IF(E75=0,0,-1),E75/ABS(C75))</f>
        <v>0.7444032984413288</v>
      </c>
      <c r="G75" s="23">
        <f ca="1">SUM(G63,G67,G73)</f>
        <v>6522.0986686844408</v>
      </c>
      <c r="H75" s="28">
        <f ca="1">SUM(H63,H67,H73)</f>
        <v>439.61999999987893</v>
      </c>
      <c r="I75" s="28">
        <f ca="1">SUM(I63,I67,I73)</f>
        <v>-6082.4786686845619</v>
      </c>
      <c r="J75" s="30">
        <f ca="1">IF(G75=0,IF(I75=0,0,-1),I75/ABS(G75))</f>
        <v>-0.9325953159662097</v>
      </c>
    </row>
    <row r="76" spans="1:10" ht="15" customHeight="1" x14ac:dyDescent="0.3">
      <c r="C76" s="23"/>
      <c r="D76" s="28"/>
      <c r="F76" s="30"/>
      <c r="G76" s="23"/>
      <c r="H76" s="28"/>
      <c r="I76" s="29"/>
      <c r="J76" s="30"/>
    </row>
    <row r="77" spans="1:10" ht="15" customHeight="1" x14ac:dyDescent="0.3">
      <c r="A77" s="3" t="s">
        <v>104</v>
      </c>
      <c r="C77" s="23">
        <f ca="1">IF(ISNA(MATCH(Report!$I$1,Months,0))=TRUE,0,IF(MATCH(Report!$I$1,Months,0)&lt;=12,OFFSET(Forecast!$B$79,0,MATCH(Report!$I$1,Months,0),1,1),IF(MATCH(Report!$I$1,Months,0)&gt;=25,OFFSET(Forecast!$B$79,0,MATCH(Report!$I$1,Months,0)+2,1,1),OFFSET(Forecast!$B$79,0,MATCH(Report!$I$1,Months,0)+1,1,1))))</f>
        <v>134203.83530189711</v>
      </c>
      <c r="D77" s="28">
        <f ca="1">IF(ISNA(MATCH(Report!$I$1,Months,0))=TRUE,0,IF(MATCH(Report!$I$1,Months,0)&lt;=12,OFFSET(Actual!$B$79,0,MATCH(Report!$I$1,Months,0),1,1),IF(MATCH(Report!$I$1,Months,0)&gt;=25,OFFSET(Actual!$B$79,0,MATCH(Report!$I$1,Months,0)+2,1,1),OFFSET(Actual!$B$79,0,MATCH(Report!$I$1,Months,0)+1,1,1))))</f>
        <v>48707.119999999966</v>
      </c>
      <c r="E77" s="29">
        <f ca="1">D77-C77</f>
        <v>-85496.715301897144</v>
      </c>
      <c r="F77" s="30">
        <f ca="1">IF(C77=0,IF(E77=0,0,-1),E77/ABS(C77))</f>
        <v>-0.63706610999282343</v>
      </c>
      <c r="G77" s="28">
        <f ca="1">IF(ISNA(MATCH(Report!$I$1,Months,0))=TRUE,0,IF(MATCH(Report!$I$1,Months,0)&lt;=12,SUM(OFFSET(Forecast!$B$79,0,1,1,1)),IF(MATCH(Report!$I$1,Months,0)&gt;=25,SUM(OFFSET(Forecast!$B$79,0,27,1,1)),SUM(OFFSET(Forecast!$B$79,0,14,1,1)))))</f>
        <v>21000</v>
      </c>
      <c r="H77" s="28">
        <f ca="1">IF(ISNA(MATCH(Report!$I$1,Months,0))=TRUE,0,IF(MATCH(Report!$I$1,Months,0)&lt;=12,SUM(OFFSET(Actual!$B$79,0,1,1,1)),IF(MATCH(Report!$I$1,Months,0)&gt;=25,SUM(OFFSET(Actual!$B$79,0,27,1,1)),SUM(OFFSET(Actual!$B$79,0,14,1,1)))))</f>
        <v>21000</v>
      </c>
      <c r="I77" s="29">
        <f ca="1">H77-G77</f>
        <v>0</v>
      </c>
      <c r="J77" s="30">
        <f ca="1">IF(G77=0,IF(I77=0,0,-1),I77/ABS(G77))</f>
        <v>0</v>
      </c>
    </row>
    <row r="78" spans="1:10" ht="15" customHeight="1" x14ac:dyDescent="0.3">
      <c r="C78" s="23"/>
      <c r="D78" s="28"/>
      <c r="F78" s="30"/>
      <c r="G78" s="23"/>
      <c r="H78" s="28"/>
      <c r="I78" s="29"/>
      <c r="J78" s="30"/>
    </row>
    <row r="79" spans="1:10" s="47" customFormat="1" ht="15" customHeight="1" thickBot="1" x14ac:dyDescent="0.4">
      <c r="A79" s="43" t="s">
        <v>105</v>
      </c>
      <c r="B79" s="78"/>
      <c r="C79" s="163">
        <f ca="1">SUM(C75,C77)</f>
        <v>27522.098668684441</v>
      </c>
      <c r="D79" s="164">
        <f ca="1">SUM(D75,D77)</f>
        <v>21439.619999999966</v>
      </c>
      <c r="E79" s="164">
        <f ca="1">SUM(E75,E77)</f>
        <v>-6082.4786686844891</v>
      </c>
      <c r="F79" s="165">
        <f ca="1">IF(C79=0,IF(E79=0,0,-1),E79/ABS(C79))</f>
        <v>-0.22100344679039086</v>
      </c>
      <c r="G79" s="163">
        <f ca="1">SUM(G75,G77)</f>
        <v>27522.098668684441</v>
      </c>
      <c r="H79" s="164">
        <f ca="1">SUM(H75,H77)</f>
        <v>21439.619999999879</v>
      </c>
      <c r="I79" s="164">
        <f ca="1">SUM(I75,I77)</f>
        <v>-6082.4786686845619</v>
      </c>
      <c r="J79" s="165">
        <f ca="1">IF(G79=0,IF(I79=0,0,-1),I79/ABS(G79))</f>
        <v>-0.22100344679039352</v>
      </c>
    </row>
    <row r="80" spans="1:10" s="166" customFormat="1" ht="15" customHeight="1" thickTop="1" x14ac:dyDescent="0.3">
      <c r="A80" s="91"/>
      <c r="B80" s="92"/>
      <c r="C80" s="28"/>
      <c r="D80" s="28"/>
      <c r="E80" s="28"/>
      <c r="F80" s="146"/>
      <c r="G80" s="28"/>
      <c r="H80" s="28"/>
      <c r="I80" s="28"/>
      <c r="J80" s="146"/>
    </row>
    <row r="81" spans="1:10" s="72" customFormat="1" ht="18" customHeight="1" x14ac:dyDescent="0.35">
      <c r="A81" s="70"/>
      <c r="B81" s="71"/>
      <c r="C81" s="176" t="s">
        <v>55</v>
      </c>
      <c r="D81" s="177"/>
      <c r="E81" s="177"/>
      <c r="F81" s="178"/>
      <c r="G81" s="179" t="s">
        <v>75</v>
      </c>
      <c r="H81" s="180"/>
      <c r="I81" s="180"/>
      <c r="J81" s="181"/>
    </row>
    <row r="82" spans="1:10" s="77" customFormat="1" ht="18" customHeight="1" x14ac:dyDescent="0.35">
      <c r="A82" s="174" t="s">
        <v>36</v>
      </c>
      <c r="B82" s="175"/>
      <c r="C82" s="73" t="s">
        <v>57</v>
      </c>
      <c r="D82" s="74" t="s">
        <v>59</v>
      </c>
      <c r="E82" s="74" t="s">
        <v>60</v>
      </c>
      <c r="F82" s="75" t="s">
        <v>73</v>
      </c>
      <c r="G82" s="76" t="s">
        <v>57</v>
      </c>
      <c r="H82" s="53" t="s">
        <v>59</v>
      </c>
      <c r="I82" s="74" t="s">
        <v>60</v>
      </c>
      <c r="J82" s="75" t="s">
        <v>73</v>
      </c>
    </row>
    <row r="83" spans="1:10" ht="15" customHeight="1" x14ac:dyDescent="0.35">
      <c r="A83" s="96" t="s">
        <v>37</v>
      </c>
      <c r="B83" s="63"/>
      <c r="C83" s="23"/>
      <c r="F83" s="30"/>
      <c r="G83" s="23"/>
      <c r="H83" s="29"/>
      <c r="I83" s="29"/>
      <c r="J83" s="30"/>
    </row>
    <row r="84" spans="1:10" s="29" customFormat="1" ht="15" customHeight="1" x14ac:dyDescent="0.3">
      <c r="A84" s="26" t="s">
        <v>65</v>
      </c>
      <c r="B84" s="27"/>
      <c r="C84" s="23">
        <f ca="1">IF(ISNA(MATCH(Report!$I$1,Months,0))=TRUE,0,OFFSET(BalanceSheets!$C$6,0,MATCH(Report!$I$1,Months,0),1,1))</f>
        <v>840416.66666666674</v>
      </c>
      <c r="D84" s="28">
        <f ca="1">IF(ISNA(MATCH(Report!$I$1,Months,0))=TRUE,0,OFFSET(BalanceSheets!$C$28,0,MATCH(Report!$I$1,Months,0),1,1))</f>
        <v>818300</v>
      </c>
      <c r="E84" s="29">
        <f ca="1">D84-C84</f>
        <v>-22116.666666666744</v>
      </c>
      <c r="F84" s="30">
        <f ca="1">IF(C84=0,IF(E84=0,0,-1),E84/ABS(C84))</f>
        <v>-2.6316311353495381E-2</v>
      </c>
      <c r="G84" s="23">
        <f ca="1">IF(ISNA(MATCH(Report!$I$1,Months,0))=TRUE,0,OFFSET(BalanceSheets!$C$6,0,MATCH(Report!$I$1,Months,0),1,1))</f>
        <v>840416.66666666674</v>
      </c>
      <c r="H84" s="28">
        <f ca="1">IF(ISNA(MATCH(Report!$I$1,Months,0))=TRUE,0,OFFSET(BalanceSheets!$C$28,0,MATCH(Report!$I$1,Months,0),1,1))</f>
        <v>818300</v>
      </c>
      <c r="I84" s="29">
        <f ca="1">H84-G84</f>
        <v>-22116.666666666744</v>
      </c>
      <c r="J84" s="30">
        <f ca="1">IF(G84=0,IF(I84=0,0,-1),I84/ABS(G84))</f>
        <v>-2.6316311353495381E-2</v>
      </c>
    </row>
    <row r="85" spans="1:10" s="29" customFormat="1" ht="15" customHeight="1" x14ac:dyDescent="0.35">
      <c r="A85" s="97" t="s">
        <v>38</v>
      </c>
      <c r="B85" s="27"/>
      <c r="C85" s="23"/>
      <c r="D85" s="28"/>
      <c r="F85" s="30"/>
      <c r="G85" s="23"/>
      <c r="H85" s="28"/>
      <c r="J85" s="30"/>
    </row>
    <row r="86" spans="1:10" s="29" customFormat="1" ht="15" customHeight="1" x14ac:dyDescent="0.3">
      <c r="A86" s="26" t="s">
        <v>27</v>
      </c>
      <c r="B86" s="27"/>
      <c r="C86" s="23">
        <f ca="1">IF(ISNA(MATCH(Report!$I$1,Months,0))=TRUE,0,OFFSET(BalanceSheets!$C$8,0,MATCH(Report!$I$1,Months,0),1,1))</f>
        <v>162580.6451612903</v>
      </c>
      <c r="D86" s="28">
        <f ca="1">IF(ISNA(MATCH(Report!$I$1,Months,0))=TRUE,0,OFFSET(BalanceSheets!$C$30,0,MATCH(Report!$I$1,Months,0),1,1))</f>
        <v>165000</v>
      </c>
      <c r="E86" s="29">
        <f ca="1">D86-C86</f>
        <v>2419.3548387096962</v>
      </c>
      <c r="F86" s="30">
        <f ca="1">IF(C86=0,IF(E86=0,0,-1),E86/ABS(C86))</f>
        <v>1.4880952380952498E-2</v>
      </c>
      <c r="G86" s="23">
        <f ca="1">IF(ISNA(MATCH(Report!$I$1,Months,0))=TRUE,0,OFFSET(BalanceSheets!$C$8,0,MATCH(Report!$I$1,Months,0),1,1))</f>
        <v>162580.6451612903</v>
      </c>
      <c r="H86" s="28">
        <f ca="1">IF(ISNA(MATCH(Report!$I$1,Months,0))=TRUE,0,OFFSET(BalanceSheets!$C$30,0,MATCH(Report!$I$1,Months,0),1,1))</f>
        <v>165000</v>
      </c>
      <c r="I86" s="29">
        <f ca="1">H86-G86</f>
        <v>2419.3548387096962</v>
      </c>
      <c r="J86" s="30">
        <f ca="1">IF(G86=0,IF(I86=0,0,-1),I86/ABS(G86))</f>
        <v>1.4880952380952498E-2</v>
      </c>
    </row>
    <row r="87" spans="1:10" s="29" customFormat="1" ht="15" customHeight="1" x14ac:dyDescent="0.3">
      <c r="A87" s="26" t="s">
        <v>89</v>
      </c>
      <c r="B87" s="27"/>
      <c r="C87" s="23">
        <f ca="1">IF(ISNA(MATCH(Report!$I$1,Months,0))=TRUE,0,OFFSET(BalanceSheets!$C$9,0,MATCH(Report!$I$1,Months,0),1,1))</f>
        <v>309677.41935483867</v>
      </c>
      <c r="D87" s="28">
        <f ca="1">IF(ISNA(MATCH(Report!$I$1,Months,0))=TRUE,0,OFFSET(BalanceSheets!$C$31,0,MATCH(Report!$I$1,Months,0),1,1))</f>
        <v>308700</v>
      </c>
      <c r="E87" s="29">
        <f ca="1">D87-C87</f>
        <v>-977.41935483866837</v>
      </c>
      <c r="F87" s="30">
        <f ca="1">IF(C87=0,IF(E87=0,0,-1),E87/ABS(C87))</f>
        <v>-3.1562499999998671E-3</v>
      </c>
      <c r="G87" s="23">
        <f ca="1">IF(ISNA(MATCH(Report!$I$1,Months,0))=TRUE,0,OFFSET(BalanceSheets!$C$9,0,MATCH(Report!$I$1,Months,0),1,1))</f>
        <v>309677.41935483867</v>
      </c>
      <c r="H87" s="28">
        <f ca="1">IF(ISNA(MATCH(Report!$I$1,Months,0))=TRUE,0,OFFSET(BalanceSheets!$C$31,0,MATCH(Report!$I$1,Months,0),1,1))</f>
        <v>308700</v>
      </c>
      <c r="I87" s="29">
        <f ca="1">H87-G87</f>
        <v>-977.41935483866837</v>
      </c>
      <c r="J87" s="30">
        <f ca="1">IF(G87=0,IF(I87=0,0,-1),I87/ABS(G87))</f>
        <v>-3.1562499999998671E-3</v>
      </c>
    </row>
    <row r="88" spans="1:10" s="29" customFormat="1" ht="15" customHeight="1" x14ac:dyDescent="0.3">
      <c r="A88" s="26" t="s">
        <v>39</v>
      </c>
      <c r="B88" s="27"/>
      <c r="C88" s="23">
        <f ca="1">C79</f>
        <v>27522.098668684441</v>
      </c>
      <c r="D88" s="28">
        <f ca="1">D79</f>
        <v>21439.619999999966</v>
      </c>
      <c r="E88" s="29">
        <f ca="1">D88-C88</f>
        <v>-6082.4786686844745</v>
      </c>
      <c r="F88" s="30">
        <f ca="1">IF(C88=0,IF(E88=0,0,-1),E88/ABS(C88))</f>
        <v>-0.22100344679039033</v>
      </c>
      <c r="G88" s="23">
        <f ca="1">G79</f>
        <v>27522.098668684441</v>
      </c>
      <c r="H88" s="28">
        <f ca="1">H79</f>
        <v>21439.619999999879</v>
      </c>
      <c r="I88" s="29">
        <f ca="1">H88-G88</f>
        <v>-6082.4786686845619</v>
      </c>
      <c r="J88" s="30">
        <f ca="1">IF(G88=0,IF(I88=0,0,-1),I88/ABS(G88))</f>
        <v>-0.22100344679039352</v>
      </c>
    </row>
    <row r="89" spans="1:10" s="16" customFormat="1" ht="15" customHeight="1" x14ac:dyDescent="0.35">
      <c r="A89" s="55" t="s">
        <v>61</v>
      </c>
      <c r="B89" s="98"/>
      <c r="C89" s="82">
        <f ca="1">SUM(C84:C88)</f>
        <v>1340196.8298514802</v>
      </c>
      <c r="D89" s="16">
        <f ca="1">SUM(D84:D88)</f>
        <v>1313439.6199999999</v>
      </c>
      <c r="E89" s="16">
        <f ca="1">SUM(E84:E88)</f>
        <v>-26757.209851480191</v>
      </c>
      <c r="F89" s="84">
        <f ca="1">IF(C89=0,IF(E89=0,0,-1),E89/ABS(C89))</f>
        <v>-1.9965134415700272E-2</v>
      </c>
      <c r="G89" s="82">
        <f ca="1">SUM(G84:G88)</f>
        <v>1340196.8298514802</v>
      </c>
      <c r="H89" s="16">
        <f ca="1">SUM(H84:H88)</f>
        <v>1313439.6199999999</v>
      </c>
      <c r="I89" s="16">
        <f ca="1">SUM(I84:I88)</f>
        <v>-26757.209851480278</v>
      </c>
      <c r="J89" s="84">
        <f ca="1">IF(G89=0,IF(I89=0,0,-1),I89/ABS(G89))</f>
        <v>-1.9965134415700338E-2</v>
      </c>
    </row>
    <row r="90" spans="1:10" ht="15" customHeight="1" x14ac:dyDescent="0.3">
      <c r="C90" s="23"/>
      <c r="F90" s="30"/>
      <c r="G90" s="23"/>
      <c r="H90" s="29"/>
      <c r="I90" s="29"/>
      <c r="J90" s="30"/>
    </row>
    <row r="91" spans="1:10" ht="15" customHeight="1" x14ac:dyDescent="0.35">
      <c r="A91" s="43" t="s">
        <v>40</v>
      </c>
      <c r="B91" s="78"/>
      <c r="C91" s="23"/>
      <c r="F91" s="30"/>
      <c r="G91" s="23"/>
      <c r="H91" s="29"/>
      <c r="I91" s="29"/>
      <c r="J91" s="30"/>
    </row>
    <row r="92" spans="1:10" s="29" customFormat="1" ht="15" customHeight="1" x14ac:dyDescent="0.3">
      <c r="A92" s="26" t="s">
        <v>66</v>
      </c>
      <c r="B92" s="27"/>
      <c r="C92" s="23">
        <f ca="1">IF(ISNA(MATCH(Report!$I$1,Months,0))=TRUE,0,OFFSET(BalanceSheets!$C$13,0,MATCH(Report!$I$1,Months,0),1,1))</f>
        <v>1500</v>
      </c>
      <c r="D92" s="28">
        <f ca="1">IF(ISNA(MATCH(Report!$I$1,Months,0))=TRUE,0,OFFSET(BalanceSheets!$C$35,0,MATCH(Report!$I$1,Months,0),1,1))</f>
        <v>1500</v>
      </c>
      <c r="E92" s="29">
        <f ca="1">D92-C92</f>
        <v>0</v>
      </c>
      <c r="F92" s="30">
        <f ca="1">IF(C92=0,IF(E92=0,0,-1),E92/ABS(C92))</f>
        <v>0</v>
      </c>
      <c r="G92" s="23">
        <f ca="1">IF(ISNA(MATCH(Report!$I$1,Months,0))=TRUE,0,OFFSET(BalanceSheets!$C$13,0,MATCH(Report!$I$1,Months,0),1,1))</f>
        <v>1500</v>
      </c>
      <c r="H92" s="28">
        <f ca="1">IF(ISNA(MATCH(Report!$I$1,Months,0))=TRUE,0,OFFSET(BalanceSheets!$C$35,0,MATCH(Report!$I$1,Months,0),1,1))</f>
        <v>1500</v>
      </c>
      <c r="I92" s="29">
        <f ca="1">H92-G92</f>
        <v>0</v>
      </c>
      <c r="J92" s="30">
        <f ca="1">IF(G92=0,IF(I92=0,0,-1),I92/ABS(G92))</f>
        <v>0</v>
      </c>
    </row>
    <row r="93" spans="1:10" s="29" customFormat="1" ht="15" customHeight="1" x14ac:dyDescent="0.3">
      <c r="A93" s="26" t="s">
        <v>41</v>
      </c>
      <c r="B93" s="27"/>
      <c r="C93" s="23">
        <f ca="1">IF(ISNA(MATCH(Report!$I$1,Months,0))=TRUE,0,OFFSET(BalanceSheets!$C$14,0,MATCH(Report!$I$1,Months,0),1,1))</f>
        <v>94765.914046752121</v>
      </c>
      <c r="D93" s="28">
        <f ca="1">IF(ISNA(MATCH(Report!$I$1,Months,0))=TRUE,0,OFFSET(BalanceSheets!$C$36,0,MATCH(Report!$I$1,Months,0),1,1))</f>
        <v>101099.61999999997</v>
      </c>
      <c r="E93" s="29">
        <f ca="1">D93-C93</f>
        <v>6333.7059532478452</v>
      </c>
      <c r="F93" s="30">
        <f ca="1">IF(C93=0,IF(E93=0,0,-1),E93/ABS(C93))</f>
        <v>6.6835275288150059E-2</v>
      </c>
      <c r="G93" s="23">
        <f ca="1">IF(ISNA(MATCH(Report!$I$1,Months,0))=TRUE,0,OFFSET(BalanceSheets!$C$14,0,MATCH(Report!$I$1,Months,0),1,1))</f>
        <v>94765.914046752121</v>
      </c>
      <c r="H93" s="28">
        <f ca="1">IF(ISNA(MATCH(Report!$I$1,Months,0))=TRUE,0,OFFSET(BalanceSheets!$C$36,0,MATCH(Report!$I$1,Months,0),1,1))</f>
        <v>101099.61999999997</v>
      </c>
      <c r="I93" s="29">
        <f ca="1">H93-G93</f>
        <v>6333.7059532478452</v>
      </c>
      <c r="J93" s="30">
        <f ca="1">IF(G93=0,IF(I93=0,0,-1),I93/ABS(G93))</f>
        <v>6.6835275288150059E-2</v>
      </c>
    </row>
    <row r="94" spans="1:10" s="29" customFormat="1" ht="15" customHeight="1" x14ac:dyDescent="0.3">
      <c r="A94" s="26" t="s">
        <v>45</v>
      </c>
      <c r="B94" s="27"/>
      <c r="C94" s="23">
        <f ca="1">IF(ISNA(MATCH(Report!$I$1,Months,0))=TRUE,0,OFFSET(BalanceSheets!$C$15,0,MATCH(Report!$I$1,Months,0),1,1))</f>
        <v>1111468.8190305345</v>
      </c>
      <c r="D94" s="28">
        <f ca="1">IF(ISNA(MATCH(Report!$I$1,Months,0))=TRUE,0,OFFSET(BalanceSheets!$C$37,0,MATCH(Report!$I$1,Months,0),1,1))</f>
        <v>1100640</v>
      </c>
      <c r="E94" s="29">
        <f ca="1">D94-C94</f>
        <v>-10828.819030534476</v>
      </c>
      <c r="F94" s="30">
        <f ca="1">IF(C94=0,IF(E94=0,0,-1),E94/ABS(C94))</f>
        <v>-9.7428005582556824E-3</v>
      </c>
      <c r="G94" s="23">
        <f ca="1">IF(ISNA(MATCH(Report!$I$1,Months,0))=TRUE,0,OFFSET(BalanceSheets!$C$15,0,MATCH(Report!$I$1,Months,0),1,1))</f>
        <v>1111468.8190305345</v>
      </c>
      <c r="H94" s="28">
        <f ca="1">IF(ISNA(MATCH(Report!$I$1,Months,0))=TRUE,0,OFFSET(BalanceSheets!$C$37,0,MATCH(Report!$I$1,Months,0),1,1))</f>
        <v>1100640</v>
      </c>
      <c r="I94" s="29">
        <f ca="1">H94-G94</f>
        <v>-10828.819030534476</v>
      </c>
      <c r="J94" s="30">
        <f ca="1">IF(G94=0,IF(I94=0,0,-1),I94/ABS(G94))</f>
        <v>-9.7428005582556824E-3</v>
      </c>
    </row>
    <row r="95" spans="1:10" s="29" customFormat="1" ht="15" customHeight="1" x14ac:dyDescent="0.35">
      <c r="A95" s="97" t="s">
        <v>42</v>
      </c>
      <c r="B95" s="27"/>
      <c r="C95" s="23"/>
      <c r="D95" s="28"/>
      <c r="F95" s="30"/>
      <c r="G95" s="23"/>
      <c r="H95" s="28"/>
      <c r="J95" s="30"/>
    </row>
    <row r="96" spans="1:10" s="29" customFormat="1" ht="15" customHeight="1" x14ac:dyDescent="0.3">
      <c r="A96" s="26" t="s">
        <v>90</v>
      </c>
      <c r="B96" s="27"/>
      <c r="C96" s="23">
        <f ca="1">IF(ISNA(MATCH(Report!$I$1,Months,0))=TRUE,0,OFFSET(BalanceSheets!$C$17,0,MATCH(Report!$I$1,Months,0),1,1))</f>
        <v>132462.09677419355</v>
      </c>
      <c r="D96" s="28">
        <f ca="1">IF(ISNA(MATCH(Report!$I$1,Months,0))=TRUE,0,OFFSET(BalanceSheets!$C$39,0,MATCH(Report!$I$1,Months,0),1,1))</f>
        <v>110200</v>
      </c>
      <c r="E96" s="29">
        <f ca="1">D96-C96</f>
        <v>-22262.096774193546</v>
      </c>
      <c r="F96" s="30">
        <f ca="1">IF(C96=0,IF(E96=0,0,-1),E96/ABS(C96))</f>
        <v>-0.16806390142036978</v>
      </c>
      <c r="G96" s="23">
        <f ca="1">IF(ISNA(MATCH(Report!$I$1,Months,0))=TRUE,0,OFFSET(BalanceSheets!$C$17,0,MATCH(Report!$I$1,Months,0),1,1))</f>
        <v>132462.09677419355</v>
      </c>
      <c r="H96" s="28">
        <f ca="1">IF(ISNA(MATCH(Report!$I$1,Months,0))=TRUE,0,OFFSET(BalanceSheets!$C$39,0,MATCH(Report!$I$1,Months,0),1,1))</f>
        <v>110200</v>
      </c>
      <c r="I96" s="29">
        <f ca="1">H96-G96</f>
        <v>-22262.096774193546</v>
      </c>
      <c r="J96" s="30">
        <f ca="1">IF(G96=0,IF(I96=0,0,-1),I96/ABS(G96))</f>
        <v>-0.16806390142036978</v>
      </c>
    </row>
    <row r="97" spans="1:10" s="29" customFormat="1" ht="15" customHeight="1" x14ac:dyDescent="0.3">
      <c r="A97" s="26" t="s">
        <v>56</v>
      </c>
      <c r="B97" s="27"/>
      <c r="C97" s="23">
        <f ca="1">IF(ISNA(MATCH(Report!$I$1,Months,0))=TRUE,0,OFFSET(BalanceSheets!$C$18,0,MATCH(Report!$I$1,Months,0),1,1))</f>
        <v>0</v>
      </c>
      <c r="D97" s="28">
        <f ca="1">IF(ISNA(MATCH(Report!$I$1,Months,0))=TRUE,0,OFFSET(BalanceSheets!$C$40,0,MATCH(Report!$I$1,Months,0),1,1))</f>
        <v>0</v>
      </c>
      <c r="E97" s="29">
        <f ca="1">D97-C97</f>
        <v>0</v>
      </c>
      <c r="F97" s="30">
        <f ca="1">IF(C97=0,IF(E97=0,0,-1),E97/ABS(C97))</f>
        <v>0</v>
      </c>
      <c r="G97" s="23">
        <f ca="1">IF(ISNA(MATCH(Report!$I$1,Months,0))=TRUE,0,OFFSET(BalanceSheets!$C$18,0,MATCH(Report!$I$1,Months,0),1,1))</f>
        <v>0</v>
      </c>
      <c r="H97" s="28">
        <f ca="1">IF(ISNA(MATCH(Report!$I$1,Months,0))=TRUE,0,OFFSET(BalanceSheets!$C$40,0,MATCH(Report!$I$1,Months,0),1,1))</f>
        <v>0</v>
      </c>
      <c r="I97" s="29">
        <f ca="1">H97-G97</f>
        <v>0</v>
      </c>
      <c r="J97" s="30">
        <f ca="1">IF(G97=0,IF(I97=0,0,-1),I97/ABS(G97))</f>
        <v>0</v>
      </c>
    </row>
    <row r="98" spans="1:10" s="16" customFormat="1" ht="15" customHeight="1" x14ac:dyDescent="0.35">
      <c r="A98" s="55" t="s">
        <v>62</v>
      </c>
      <c r="B98" s="98"/>
      <c r="C98" s="82">
        <f ca="1">SUM(C92:C97)</f>
        <v>1340196.82985148</v>
      </c>
      <c r="D98" s="16">
        <f ca="1">SUM(D92:D97)</f>
        <v>1313439.6199999999</v>
      </c>
      <c r="E98" s="16">
        <f ca="1">SUM(E92:E97)</f>
        <v>-26757.209851480176</v>
      </c>
      <c r="F98" s="84">
        <f ca="1">IF(C98=0,IF(E98=0,0,-1),E98/ABS(C98))</f>
        <v>-1.9965134415700265E-2</v>
      </c>
      <c r="G98" s="82">
        <f ca="1">SUM(G92:G97)</f>
        <v>1340196.82985148</v>
      </c>
      <c r="H98" s="16">
        <f ca="1">SUM(H92:H97)</f>
        <v>1313439.6199999999</v>
      </c>
      <c r="I98" s="16">
        <f ca="1">SUM(I92:I97)</f>
        <v>-26757.209851480176</v>
      </c>
      <c r="J98" s="84">
        <f ca="1">IF(G98=0,IF(I98=0,0,-1),I98/ABS(G98))</f>
        <v>-1.9965134415700265E-2</v>
      </c>
    </row>
    <row r="99" spans="1:10" ht="15" customHeight="1" x14ac:dyDescent="0.3">
      <c r="A99" s="99"/>
      <c r="B99" s="100"/>
      <c r="C99" s="101"/>
      <c r="D99" s="102"/>
      <c r="E99" s="102"/>
      <c r="F99" s="103"/>
      <c r="G99" s="101"/>
      <c r="H99" s="102"/>
      <c r="I99" s="102"/>
      <c r="J99" s="103"/>
    </row>
    <row r="100" spans="1:10" ht="15" customHeight="1" x14ac:dyDescent="0.3">
      <c r="A100" s="144"/>
      <c r="B100" s="145"/>
      <c r="C100" s="28"/>
      <c r="D100" s="28"/>
      <c r="E100" s="28"/>
      <c r="F100" s="146"/>
      <c r="G100" s="28"/>
      <c r="H100" s="28"/>
      <c r="I100" s="28"/>
      <c r="J100" s="146"/>
    </row>
    <row r="101" spans="1:10" s="108" customFormat="1" ht="15" customHeight="1" x14ac:dyDescent="0.3">
      <c r="A101" s="104" t="s">
        <v>115</v>
      </c>
      <c r="B101" s="105"/>
      <c r="C101" s="106" t="str">
        <f ca="1">IF(ROUND(C89-C98,2)&lt;&gt;0,"error","ok")</f>
        <v>ok</v>
      </c>
      <c r="D101" s="106" t="str">
        <f ca="1">IF(ROUND(D89-D98,2)&lt;&gt;0,"error","ok")</f>
        <v>ok</v>
      </c>
      <c r="E101" s="106" t="str">
        <f ca="1">IF(ROUND(E89-E98,2)&lt;&gt;0,"error","ok")</f>
        <v>ok</v>
      </c>
      <c r="F101" s="107"/>
      <c r="G101" s="106" t="str">
        <f ca="1">IF(ROUND(G89-G98,2)&lt;&gt;0,"error","ok")</f>
        <v>ok</v>
      </c>
      <c r="H101" s="106" t="str">
        <f ca="1">IF(ROUND(H89-H98,2)&lt;&gt;0,"error","ok")</f>
        <v>ok</v>
      </c>
      <c r="I101" s="106" t="str">
        <f ca="1">IF(ROUND(I89-I98,2)&lt;&gt;0,"error","ok")</f>
        <v>ok</v>
      </c>
      <c r="J101" s="107"/>
    </row>
    <row r="102" spans="1:10" s="15" customFormat="1" ht="15" customHeight="1" x14ac:dyDescent="0.3">
      <c r="A102" s="61"/>
      <c r="B102" s="109"/>
      <c r="C102" s="110"/>
      <c r="D102" s="110"/>
      <c r="E102" s="110"/>
      <c r="F102" s="111"/>
      <c r="G102" s="110"/>
      <c r="H102" s="110"/>
      <c r="I102" s="110"/>
      <c r="J102" s="111"/>
    </row>
  </sheetData>
  <sheetProtection insertRows="0" deleteRows="0"/>
  <mergeCells count="10">
    <mergeCell ref="A49:B49"/>
    <mergeCell ref="C81:F81"/>
    <mergeCell ref="G81:J81"/>
    <mergeCell ref="A82:B82"/>
    <mergeCell ref="C1:G1"/>
    <mergeCell ref="C3:F3"/>
    <mergeCell ref="G3:J3"/>
    <mergeCell ref="A4:B4"/>
    <mergeCell ref="C48:F48"/>
    <mergeCell ref="G48:J48"/>
  </mergeCells>
  <phoneticPr fontId="3" type="noConversion"/>
  <conditionalFormatting sqref="C101:E101 G101:I101">
    <cfRule type="cellIs" dxfId="2" priority="4" stopIfTrue="1" operator="equal">
      <formula>"error"</formula>
    </cfRule>
  </conditionalFormatting>
  <conditionalFormatting sqref="B13:B36">
    <cfRule type="cellIs" dxfId="1" priority="5" stopIfTrue="1" operator="equal">
      <formula>"ERR"</formula>
    </cfRule>
  </conditionalFormatting>
  <conditionalFormatting sqref="I1">
    <cfRule type="expression" dxfId="0" priority="1" stopIfTrue="1">
      <formula>ISNA(MATCH($I$1,Months,0))=TRUE</formula>
    </cfRule>
  </conditionalFormatting>
  <dataValidations count="1">
    <dataValidation type="list" allowBlank="1" showInputMessage="1" showErrorMessage="1" errorTitle="Invalid Data" error="Select a valid month from the list box." sqref="I1" xr:uid="{00000000-0002-0000-0600-000000000000}">
      <formula1>Months</formula1>
    </dataValidation>
  </dataValidations>
  <pageMargins left="0.55118110236220474" right="0.55118110236220474" top="0.39370078740157483" bottom="0.59055118110236227" header="0" footer="0.39370078740157483"/>
  <pageSetup paperSize="9" scale="75" fitToHeight="0" orientation="landscape" r:id="rId1"/>
  <headerFooter alignWithMargins="0">
    <oddFooter>&amp;C&amp;9Page &amp;P of &amp;N</oddFooter>
  </headerFooter>
  <rowBreaks count="2" manualBreakCount="2">
    <brk id="47" max="9" man="1"/>
    <brk id="80" max="9" man="1"/>
  </rowBreaks>
  <ignoredErrors>
    <ignoredError sqref="E60:F60 I60 F36 F89 F98 F79 F75 F73 F67 F63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8"/>
  <sheetViews>
    <sheetView zoomScale="95" workbookViewId="0">
      <selection activeCell="A2" sqref="A2"/>
    </sheetView>
  </sheetViews>
  <sheetFormatPr defaultColWidth="9.1328125" defaultRowHeight="15" customHeight="1" x14ac:dyDescent="0.3"/>
  <cols>
    <col min="1" max="1" width="15.73046875" style="114" customWidth="1"/>
    <col min="2" max="30" width="15.73046875" style="113" customWidth="1"/>
    <col min="31" max="16384" width="9.1328125" style="113"/>
  </cols>
  <sheetData>
    <row r="1" spans="1:2" x14ac:dyDescent="0.4">
      <c r="A1" s="31" t="s">
        <v>63</v>
      </c>
    </row>
    <row r="2" spans="1:2" ht="15" customHeight="1" x14ac:dyDescent="0.35">
      <c r="A2" s="112" t="s">
        <v>55</v>
      </c>
      <c r="B2" s="115" t="s">
        <v>84</v>
      </c>
    </row>
    <row r="3" spans="1:2" ht="15" customHeight="1" x14ac:dyDescent="0.3">
      <c r="A3" s="114">
        <f ca="1">IF(ISBLANK(Assumptions!$B$5)=TRUE,DATE(YEAR(TODAY()),MONTH(TODAY())+1,0),DATE(YEAR(Assumptions!$B$5),MONTH(Assumptions!$B$5)+1,0))</f>
        <v>42460</v>
      </c>
      <c r="B3" s="113">
        <v>1</v>
      </c>
    </row>
    <row r="4" spans="1:2" ht="15" customHeight="1" x14ac:dyDescent="0.3">
      <c r="A4" s="114">
        <f ca="1">DATE(YEAR(A3),MONTH(A3)+2,0)</f>
        <v>42490</v>
      </c>
      <c r="B4" s="113">
        <v>2</v>
      </c>
    </row>
    <row r="5" spans="1:2" ht="15" customHeight="1" x14ac:dyDescent="0.3">
      <c r="A5" s="114">
        <f t="shared" ref="A5:A38" ca="1" si="0">DATE(YEAR(A4),MONTH(A4)+2,0)</f>
        <v>42521</v>
      </c>
      <c r="B5" s="113">
        <v>3</v>
      </c>
    </row>
    <row r="6" spans="1:2" ht="15" customHeight="1" x14ac:dyDescent="0.3">
      <c r="A6" s="114">
        <f t="shared" ca="1" si="0"/>
        <v>42551</v>
      </c>
      <c r="B6" s="113">
        <v>4</v>
      </c>
    </row>
    <row r="7" spans="1:2" ht="15" customHeight="1" x14ac:dyDescent="0.3">
      <c r="A7" s="114">
        <f t="shared" ca="1" si="0"/>
        <v>42582</v>
      </c>
      <c r="B7" s="113">
        <v>5</v>
      </c>
    </row>
    <row r="8" spans="1:2" ht="15" customHeight="1" x14ac:dyDescent="0.3">
      <c r="A8" s="114">
        <f t="shared" ca="1" si="0"/>
        <v>42613</v>
      </c>
      <c r="B8" s="113">
        <v>6</v>
      </c>
    </row>
    <row r="9" spans="1:2" ht="15" customHeight="1" x14ac:dyDescent="0.3">
      <c r="A9" s="114">
        <f t="shared" ca="1" si="0"/>
        <v>42643</v>
      </c>
      <c r="B9" s="113">
        <v>7</v>
      </c>
    </row>
    <row r="10" spans="1:2" ht="15" customHeight="1" x14ac:dyDescent="0.3">
      <c r="A10" s="114">
        <f t="shared" ca="1" si="0"/>
        <v>42674</v>
      </c>
      <c r="B10" s="113">
        <v>8</v>
      </c>
    </row>
    <row r="11" spans="1:2" ht="15" customHeight="1" x14ac:dyDescent="0.3">
      <c r="A11" s="114">
        <f t="shared" ca="1" si="0"/>
        <v>42704</v>
      </c>
      <c r="B11" s="113">
        <v>9</v>
      </c>
    </row>
    <row r="12" spans="1:2" ht="15" customHeight="1" x14ac:dyDescent="0.3">
      <c r="A12" s="114">
        <f t="shared" ca="1" si="0"/>
        <v>42735</v>
      </c>
      <c r="B12" s="113">
        <v>10</v>
      </c>
    </row>
    <row r="13" spans="1:2" ht="15" customHeight="1" x14ac:dyDescent="0.3">
      <c r="A13" s="114">
        <f t="shared" ca="1" si="0"/>
        <v>42766</v>
      </c>
      <c r="B13" s="113">
        <v>11</v>
      </c>
    </row>
    <row r="14" spans="1:2" ht="15" customHeight="1" x14ac:dyDescent="0.3">
      <c r="A14" s="114">
        <f t="shared" ca="1" si="0"/>
        <v>42794</v>
      </c>
      <c r="B14" s="113">
        <v>12</v>
      </c>
    </row>
    <row r="15" spans="1:2" ht="15" customHeight="1" x14ac:dyDescent="0.3">
      <c r="A15" s="114">
        <f t="shared" ca="1" si="0"/>
        <v>42825</v>
      </c>
      <c r="B15" s="113">
        <v>13</v>
      </c>
    </row>
    <row r="16" spans="1:2" ht="15" customHeight="1" x14ac:dyDescent="0.3">
      <c r="A16" s="114">
        <f t="shared" ca="1" si="0"/>
        <v>42855</v>
      </c>
      <c r="B16" s="113">
        <v>14</v>
      </c>
    </row>
    <row r="17" spans="1:2" ht="15" customHeight="1" x14ac:dyDescent="0.3">
      <c r="A17" s="114">
        <f t="shared" ca="1" si="0"/>
        <v>42886</v>
      </c>
      <c r="B17" s="113">
        <v>15</v>
      </c>
    </row>
    <row r="18" spans="1:2" ht="15" customHeight="1" x14ac:dyDescent="0.3">
      <c r="A18" s="114">
        <f t="shared" ca="1" si="0"/>
        <v>42916</v>
      </c>
      <c r="B18" s="113">
        <v>16</v>
      </c>
    </row>
    <row r="19" spans="1:2" ht="15" customHeight="1" x14ac:dyDescent="0.3">
      <c r="A19" s="114">
        <f t="shared" ca="1" si="0"/>
        <v>42947</v>
      </c>
      <c r="B19" s="113">
        <v>17</v>
      </c>
    </row>
    <row r="20" spans="1:2" ht="15" customHeight="1" x14ac:dyDescent="0.3">
      <c r="A20" s="114">
        <f t="shared" ca="1" si="0"/>
        <v>42978</v>
      </c>
      <c r="B20" s="113">
        <v>18</v>
      </c>
    </row>
    <row r="21" spans="1:2" ht="15" customHeight="1" x14ac:dyDescent="0.3">
      <c r="A21" s="114">
        <f t="shared" ca="1" si="0"/>
        <v>43008</v>
      </c>
      <c r="B21" s="113">
        <v>19</v>
      </c>
    </row>
    <row r="22" spans="1:2" ht="15" customHeight="1" x14ac:dyDescent="0.3">
      <c r="A22" s="114">
        <f t="shared" ca="1" si="0"/>
        <v>43039</v>
      </c>
      <c r="B22" s="113">
        <v>20</v>
      </c>
    </row>
    <row r="23" spans="1:2" ht="15" customHeight="1" x14ac:dyDescent="0.3">
      <c r="A23" s="114">
        <f t="shared" ca="1" si="0"/>
        <v>43069</v>
      </c>
      <c r="B23" s="113">
        <v>21</v>
      </c>
    </row>
    <row r="24" spans="1:2" ht="15" customHeight="1" x14ac:dyDescent="0.3">
      <c r="A24" s="114">
        <f t="shared" ca="1" si="0"/>
        <v>43100</v>
      </c>
      <c r="B24" s="113">
        <v>22</v>
      </c>
    </row>
    <row r="25" spans="1:2" ht="15" customHeight="1" x14ac:dyDescent="0.3">
      <c r="A25" s="114">
        <f t="shared" ca="1" si="0"/>
        <v>43131</v>
      </c>
      <c r="B25" s="113">
        <v>23</v>
      </c>
    </row>
    <row r="26" spans="1:2" ht="15" customHeight="1" x14ac:dyDescent="0.3">
      <c r="A26" s="114">
        <f t="shared" ca="1" si="0"/>
        <v>43159</v>
      </c>
      <c r="B26" s="113">
        <v>24</v>
      </c>
    </row>
    <row r="27" spans="1:2" ht="15" customHeight="1" x14ac:dyDescent="0.3">
      <c r="A27" s="114">
        <f t="shared" ca="1" si="0"/>
        <v>43190</v>
      </c>
      <c r="B27" s="113">
        <v>25</v>
      </c>
    </row>
    <row r="28" spans="1:2" ht="15" customHeight="1" x14ac:dyDescent="0.3">
      <c r="A28" s="114">
        <f t="shared" ca="1" si="0"/>
        <v>43220</v>
      </c>
      <c r="B28" s="113">
        <v>26</v>
      </c>
    </row>
    <row r="29" spans="1:2" ht="15" customHeight="1" x14ac:dyDescent="0.3">
      <c r="A29" s="114">
        <f t="shared" ca="1" si="0"/>
        <v>43251</v>
      </c>
      <c r="B29" s="113">
        <v>27</v>
      </c>
    </row>
    <row r="30" spans="1:2" ht="15" customHeight="1" x14ac:dyDescent="0.3">
      <c r="A30" s="114">
        <f t="shared" ca="1" si="0"/>
        <v>43281</v>
      </c>
      <c r="B30" s="113">
        <v>28</v>
      </c>
    </row>
    <row r="31" spans="1:2" ht="15" customHeight="1" x14ac:dyDescent="0.3">
      <c r="A31" s="114">
        <f t="shared" ca="1" si="0"/>
        <v>43312</v>
      </c>
      <c r="B31" s="113">
        <v>29</v>
      </c>
    </row>
    <row r="32" spans="1:2" ht="15" customHeight="1" x14ac:dyDescent="0.3">
      <c r="A32" s="114">
        <f t="shared" ca="1" si="0"/>
        <v>43343</v>
      </c>
      <c r="B32" s="113">
        <v>30</v>
      </c>
    </row>
    <row r="33" spans="1:2" ht="15" customHeight="1" x14ac:dyDescent="0.3">
      <c r="A33" s="114">
        <f t="shared" ca="1" si="0"/>
        <v>43373</v>
      </c>
      <c r="B33" s="113">
        <v>31</v>
      </c>
    </row>
    <row r="34" spans="1:2" ht="15" customHeight="1" x14ac:dyDescent="0.3">
      <c r="A34" s="114">
        <f t="shared" ca="1" si="0"/>
        <v>43404</v>
      </c>
      <c r="B34" s="113">
        <v>32</v>
      </c>
    </row>
    <row r="35" spans="1:2" ht="15" customHeight="1" x14ac:dyDescent="0.3">
      <c r="A35" s="114">
        <f t="shared" ca="1" si="0"/>
        <v>43434</v>
      </c>
      <c r="B35" s="113">
        <v>33</v>
      </c>
    </row>
    <row r="36" spans="1:2" ht="15" customHeight="1" x14ac:dyDescent="0.3">
      <c r="A36" s="114">
        <f t="shared" ca="1" si="0"/>
        <v>43465</v>
      </c>
      <c r="B36" s="113">
        <v>34</v>
      </c>
    </row>
    <row r="37" spans="1:2" ht="15" customHeight="1" x14ac:dyDescent="0.3">
      <c r="A37" s="114">
        <f t="shared" ca="1" si="0"/>
        <v>43496</v>
      </c>
      <c r="B37" s="113">
        <v>35</v>
      </c>
    </row>
    <row r="38" spans="1:2" ht="15" customHeight="1" x14ac:dyDescent="0.3">
      <c r="A38" s="114">
        <f t="shared" ca="1" si="0"/>
        <v>43524</v>
      </c>
      <c r="B38" s="113">
        <v>36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Assumptions</vt:lpstr>
      <vt:lpstr>Forecast</vt:lpstr>
      <vt:lpstr>Actual</vt:lpstr>
      <vt:lpstr>BalanceSheets</vt:lpstr>
      <vt:lpstr>Loans</vt:lpstr>
      <vt:lpstr>Report</vt:lpstr>
      <vt:lpstr>Months</vt:lpstr>
      <vt:lpstr>LoanMonths</vt:lpstr>
      <vt:lpstr>MonthList</vt:lpstr>
      <vt:lpstr>Months</vt:lpstr>
      <vt:lpstr>Actual!Print_Area</vt:lpstr>
      <vt:lpstr>BalanceSheets!Print_Area</vt:lpstr>
      <vt:lpstr>Forecast!Print_Area</vt:lpstr>
      <vt:lpstr>Report!Print_Area</vt:lpstr>
      <vt:lpstr>Actual!Print_Titles</vt:lpstr>
      <vt:lpstr>BalanceSheets!Print_Titles</vt:lpstr>
      <vt:lpstr>Forecast!Print_Titles</vt:lpstr>
      <vt:lpstr>Loans!Print_Titles</vt:lpstr>
      <vt:lpstr>Report!Print_Titles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cash flow, excel cash flow, cash flow template, cash flow forecast</cp:keywords>
  <dc:description>BDS Tools to help with managing your business</dc:description>
  <cp:lastModifiedBy>Peter</cp:lastModifiedBy>
  <cp:lastPrinted>2012-01-12T14:40:05Z</cp:lastPrinted>
  <dcterms:created xsi:type="dcterms:W3CDTF">2009-07-26T08:36:26Z</dcterms:created>
  <dcterms:modified xsi:type="dcterms:W3CDTF">2020-04-27T03:49:53Z</dcterms:modified>
  <cp:category>BDS Tools; Version 3.0</cp:category>
  <cp:contentStatus>Published</cp:contentStatus>
  <cp:version>1</cp:version>
</cp:coreProperties>
</file>